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dministrativo - Financeiro\TRANSPORTE ESCOLAR\ROTEIROS RURAIS LICITAÇÃO 2023\jjjjjjjjjaaaaaaaaaaaaaaeeeeeeeeeeeyyyyyyyyy\"/>
    </mc:Choice>
  </mc:AlternateContent>
  <xr:revisionPtr revIDLastSave="0" documentId="13_ncr:1_{4E4DA9A0-B1BD-4D6D-B51B-6078977AC97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95 km micro" sheetId="1" r:id="rId1"/>
  </sheets>
  <definedNames>
    <definedName name="_xlnm.Print_Area" localSheetId="0">'95 km micro'!$C$2:$J$147</definedName>
    <definedName name="_xlnm.Print_Titles" localSheetId="0">'95 km micro'!$2:$3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13" i="1" l="1"/>
  <c r="J103" i="1"/>
  <c r="I131" i="1"/>
  <c r="I129" i="1"/>
  <c r="G128" i="1"/>
  <c r="I127" i="1"/>
  <c r="G126" i="1"/>
  <c r="G132" i="1" s="1"/>
  <c r="G109" i="1"/>
  <c r="F106" i="1"/>
  <c r="J106" i="1" s="1"/>
  <c r="J107" i="1" s="1"/>
  <c r="F100" i="1"/>
  <c r="J100" i="1" s="1"/>
  <c r="F99" i="1"/>
  <c r="F98" i="1"/>
  <c r="J98" i="1" s="1"/>
  <c r="J97" i="1"/>
  <c r="I80" i="1"/>
  <c r="I82" i="1" s="1"/>
  <c r="I84" i="1" s="1"/>
  <c r="I49" i="1"/>
  <c r="H46" i="1"/>
  <c r="H45" i="1"/>
  <c r="I40" i="1"/>
  <c r="I25" i="1"/>
  <c r="D17" i="1"/>
  <c r="D46" i="1" s="1"/>
  <c r="D50" i="1" s="1"/>
  <c r="D16" i="1"/>
  <c r="D45" i="1" s="1"/>
  <c r="D49" i="1" s="1"/>
  <c r="J9" i="1"/>
  <c r="I16" i="1" s="1"/>
  <c r="J45" i="1" l="1"/>
  <c r="H109" i="1"/>
  <c r="J109" i="1" s="1"/>
  <c r="J110" i="1" s="1"/>
  <c r="J16" i="1"/>
  <c r="J10" i="1"/>
  <c r="I17" i="1" s="1"/>
  <c r="J49" i="1"/>
  <c r="J112" i="1"/>
  <c r="J114" i="1" s="1"/>
  <c r="J50" i="1"/>
  <c r="J99" i="1"/>
  <c r="J101" i="1" s="1"/>
  <c r="J104" i="1" l="1"/>
  <c r="J115" i="1" s="1"/>
  <c r="J17" i="1"/>
  <c r="J19" i="1" s="1"/>
  <c r="J46" i="1"/>
  <c r="J52" i="1" s="1"/>
  <c r="J58" i="1" s="1"/>
  <c r="J139" i="1" l="1"/>
  <c r="J119" i="1"/>
  <c r="J83" i="1"/>
  <c r="J79" i="1"/>
  <c r="J63" i="1"/>
  <c r="J89" i="1"/>
  <c r="J78" i="1"/>
  <c r="J66" i="1"/>
  <c r="J68" i="1" s="1"/>
  <c r="J75" i="1"/>
  <c r="J77" i="1"/>
  <c r="J67" i="1"/>
  <c r="J76" i="1"/>
  <c r="J81" i="1"/>
  <c r="J74" i="1"/>
  <c r="J25" i="1"/>
  <c r="J26" i="1"/>
  <c r="J64" i="1"/>
  <c r="J80" i="1" l="1"/>
  <c r="J82" i="1" s="1"/>
  <c r="J84" i="1" s="1"/>
  <c r="J92" i="1" s="1"/>
  <c r="J27" i="1"/>
  <c r="J65" i="1"/>
  <c r="J69" i="1" s="1"/>
  <c r="J91" i="1" s="1"/>
  <c r="J56" i="1" l="1"/>
  <c r="J37" i="1"/>
  <c r="J36" i="1"/>
  <c r="J35" i="1"/>
  <c r="J39" i="1"/>
  <c r="J33" i="1"/>
  <c r="J38" i="1"/>
  <c r="J34" i="1"/>
  <c r="J32" i="1"/>
  <c r="J40" i="1" l="1"/>
  <c r="J57" i="1" s="1"/>
  <c r="J59" i="1" s="1"/>
  <c r="J90" i="1" s="1"/>
  <c r="J93" i="1" s="1"/>
  <c r="J138" i="1" l="1"/>
  <c r="J118" i="1"/>
  <c r="J120" i="1" s="1"/>
  <c r="H124" i="1" s="1"/>
  <c r="J124" i="1" l="1"/>
  <c r="H125" i="1" s="1"/>
  <c r="J125" i="1" l="1"/>
  <c r="I126" i="1" l="1"/>
  <c r="J126" i="1" l="1"/>
  <c r="I128" i="1" s="1"/>
  <c r="J128" i="1" l="1"/>
  <c r="I130" i="1" s="1"/>
  <c r="J130" i="1" s="1"/>
  <c r="J132" i="1" s="1"/>
  <c r="J140" i="1" s="1"/>
  <c r="J141" i="1" s="1"/>
  <c r="J142" i="1" l="1"/>
  <c r="K141" i="1"/>
</calcChain>
</file>

<file path=xl/sharedStrings.xml><?xml version="1.0" encoding="utf-8"?>
<sst xmlns="http://schemas.openxmlformats.org/spreadsheetml/2006/main" count="260" uniqueCount="164">
  <si>
    <t>1 - MÃO DE OBRA - MENSAL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</si>
  <si>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</si>
  <si>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</si>
  <si>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</si>
  <si>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</si>
  <si>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</si>
  <si>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</si>
  <si>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</si>
  <si>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</si>
  <si>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RS002849/2022</t>
  </si>
  <si>
    <t>01 de abril 2022</t>
  </si>
  <si>
    <t>Monitor (CBO XXX)</t>
  </si>
  <si>
    <t>Circular 03/2022 SITRACOVER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</si>
  <si>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</si>
  <si>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</si>
  <si>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</si>
  <si>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</si>
  <si>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</si>
  <si>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</si>
  <si>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</si>
  <si>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</si>
  <si>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</si>
  <si>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</si>
  <si>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</si>
  <si>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</si>
  <si>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</si>
  <si>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</si>
  <si>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</si>
  <si>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</si>
  <si>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</si>
  <si>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</si>
  <si>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</si>
  <si>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</si>
  <si>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</si>
  <si>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</si>
  <si>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</si>
  <si>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</si>
  <si>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</si>
  <si>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</si>
  <si>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</si>
  <si>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</si>
  <si>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</si>
  <si>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</si>
  <si>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</si>
  <si>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</si>
  <si>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</si>
  <si>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</si>
  <si>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</si>
  <si>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</si>
  <si>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</si>
  <si>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</si>
  <si>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</si>
  <si>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</si>
  <si>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</si>
  <si>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</si>
  <si>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</si>
  <si>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t>Auxílio-Refeição/Alimentação</t>
  </si>
  <si>
    <t>Valor da Convenção</t>
  </si>
  <si>
    <t>B.1</t>
  </si>
  <si>
    <t>DESCONTO DE R$ 20,00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</si>
  <si>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</si>
  <si>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</si>
  <si>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</si>
  <si>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</si>
  <si>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</si>
  <si>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</si>
  <si>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r>
      <rPr>
        <sz val="10"/>
        <color rgb="FF000000"/>
        <rFont val="Arial"/>
        <family val="2"/>
        <charset val="1"/>
      </rPr>
      <t xml:space="preserve">Aviso Prévio Indenizado. </t>
    </r>
    <r>
      <rPr>
        <sz val="9"/>
        <color rgb="FF000000"/>
        <rFont val="Arial"/>
        <family val="2"/>
        <charset val="1"/>
      </rPr>
      <t>Cálculo: (1/12)x0,05x100=0,42% incidente sobre o total da Remuneração</t>
    </r>
  </si>
  <si>
    <r>
      <rPr>
        <sz val="10"/>
        <color rgb="FF000000"/>
        <rFont val="Arial"/>
        <family val="2"/>
        <charset val="1"/>
      </rPr>
      <t xml:space="preserve">Incidência do FGTS sobre o Aviso Prévio Indenizado. </t>
    </r>
    <r>
      <rPr>
        <sz val="9"/>
        <color rgb="FF000000"/>
        <rFont val="Arial"/>
        <family val="2"/>
        <charset val="1"/>
      </rPr>
      <t xml:space="preserve">Cálculo: 0,0042×0,08×100≈0,0336% </t>
    </r>
  </si>
  <si>
    <r>
      <rPr>
        <sz val="10"/>
        <color rgb="FF000000"/>
        <rFont val="Arial"/>
        <family val="2"/>
        <charset val="1"/>
      </rPr>
      <t xml:space="preserve">Multa do FGTS sobre o Aviso Prévio Indenizado. </t>
    </r>
    <r>
      <rPr>
        <sz val="9"/>
        <color rgb="FF000000"/>
        <rFont val="Arial"/>
        <family val="2"/>
        <charset val="1"/>
      </rPr>
      <t>Cálculo: [1+(2/12)+((1/3)*(1/12))]*0,08*0,4*0,9*100≈3,44%</t>
    </r>
  </si>
  <si>
    <r>
      <rPr>
        <sz val="10"/>
        <rFont val="Arial"/>
        <family val="2"/>
        <charset val="1"/>
      </rPr>
      <t xml:space="preserve">Aviso Prévio Trabalhado. </t>
    </r>
    <r>
      <rPr>
        <sz val="9"/>
        <rFont val="Arial"/>
        <family val="2"/>
        <charset val="1"/>
      </rPr>
      <t>Cálculo: ((7/30)/12)x100=1,94% incidente sobre o total da Remuneração (*)</t>
    </r>
  </si>
  <si>
    <r>
      <rPr>
        <sz val="10"/>
        <color rgb="FF000000"/>
        <rFont val="Arial"/>
        <family val="2"/>
        <charset val="1"/>
      </rPr>
      <t xml:space="preserve">Incidência dos encargos do submódulo 2.2 sobre o Aviso Prévio Trabalhado. </t>
    </r>
    <r>
      <rPr>
        <sz val="9"/>
        <color rgb="FF000000"/>
        <rFont val="Arial"/>
        <family val="2"/>
        <charset val="1"/>
      </rPr>
      <t>Cálculo: 36,80%×1,94%≈0,72%</t>
    </r>
  </si>
  <si>
    <r>
      <rPr>
        <sz val="10"/>
        <color rgb="FF000000"/>
        <rFont val="Arial"/>
        <family val="2"/>
        <charset val="1"/>
      </rPr>
      <t xml:space="preserve">Multa do FGTS e contribuição social sobre o Aviso Prévio Trabalhado. </t>
    </r>
    <r>
      <rPr>
        <sz val="9"/>
        <color rgb="FF000000"/>
        <rFont val="Arial"/>
        <family val="2"/>
        <charset val="1"/>
      </rPr>
      <t>Cálculo: 0,0194×0,08×0,4×100≈0,062%</t>
    </r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</si>
  <si>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</si>
  <si>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</si>
  <si>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</si>
  <si>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</si>
  <si>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</si>
  <si>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r>
      <rPr>
        <sz val="10"/>
        <color rgb="FF000000"/>
        <rFont val="Arial"/>
        <family val="2"/>
        <charset val="1"/>
      </rPr>
      <t xml:space="preserve">Substituição durante as férias. </t>
    </r>
    <r>
      <rPr>
        <sz val="9"/>
        <color rgb="FF000000"/>
        <rFont val="Arial"/>
        <family val="2"/>
        <charset val="1"/>
      </rPr>
      <t>Cálculo: (1/12)*100  / x 100</t>
    </r>
  </si>
  <si>
    <r>
      <rPr>
        <sz val="10"/>
        <color rgb="FF000000"/>
        <rFont val="Arial"/>
        <family val="2"/>
        <charset val="1"/>
      </rPr>
      <t xml:space="preserve">Substituição durante ausência por doença. </t>
    </r>
    <r>
      <rPr>
        <sz val="9"/>
        <color rgb="FF000000"/>
        <rFont val="Arial"/>
        <family val="2"/>
        <charset val="1"/>
      </rPr>
      <t>Cálculo: (5÷30÷12) = 1,39% (estimativa de 5 dias de licença por ano)</t>
    </r>
  </si>
  <si>
    <r>
      <rPr>
        <sz val="10"/>
        <color rgb="FF000000"/>
        <rFont val="Arial"/>
        <family val="2"/>
        <charset val="1"/>
      </rPr>
      <t xml:space="preserve">Substituição durante licença maternidade. </t>
    </r>
    <r>
      <rPr>
        <sz val="9"/>
        <color rgb="FF000000"/>
        <rFont val="Arial"/>
        <family val="2"/>
        <charset val="1"/>
      </rPr>
      <t>Cálculo: 11,11%×5,28%×50%≅0,29%</t>
    </r>
  </si>
  <si>
    <r>
      <rPr>
        <sz val="10"/>
        <color rgb="FF000000"/>
        <rFont val="Arial"/>
        <family val="2"/>
        <charset val="1"/>
      </rPr>
      <t xml:space="preserve">Substituição durante licença paternidade. </t>
    </r>
    <r>
      <rPr>
        <sz val="9"/>
        <color rgb="FF000000"/>
        <rFont val="Arial"/>
        <family val="2"/>
        <charset val="1"/>
      </rPr>
      <t>Cálculo: (5÷30÷12)×0,015×100≅0,02%</t>
    </r>
  </si>
  <si>
    <r>
      <rPr>
        <sz val="10"/>
        <color rgb="FF000000"/>
        <rFont val="Arial"/>
        <family val="2"/>
        <charset val="1"/>
      </rPr>
      <t xml:space="preserve">Substituição durante ausências legais. </t>
    </r>
    <r>
      <rPr>
        <sz val="9"/>
        <color rgb="FF000000"/>
        <rFont val="Arial"/>
        <family val="2"/>
        <charset val="1"/>
      </rPr>
      <t>Cálculo: (1÷30÷12)×100≅0,28%</t>
    </r>
  </si>
  <si>
    <r>
      <rPr>
        <sz val="10"/>
        <color rgb="FF000000"/>
        <rFont val="Arial"/>
        <family val="2"/>
        <charset val="1"/>
      </rPr>
      <t xml:space="preserve">Substituição durante ausência por acidente de trabalho. </t>
    </r>
    <r>
      <rPr>
        <sz val="9"/>
        <color rgb="FF000000"/>
        <rFont val="Arial"/>
        <family val="2"/>
        <charset val="1"/>
      </rPr>
      <t>Cálculo: (1 ÷ 12)×0,0178×100≅0,07%</t>
    </r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</si>
  <si>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</si>
  <si>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</si>
  <si>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</si>
  <si>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</si>
  <si>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</t>
  </si>
  <si>
    <t>Mão de obra vinculada à execução contratual</t>
  </si>
  <si>
    <t>Módulo 3 - Provisão para Rescisão</t>
  </si>
  <si>
    <t>Subtotal (A+B+C+D)</t>
  </si>
  <si>
    <t>2 - INSUMOS DIVERSOS - MENSAL</t>
  </si>
  <si>
    <t>Taxas diversas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</si>
  <si>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</si>
  <si>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</si>
  <si>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</si>
  <si>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</si>
  <si>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</si>
  <si>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</si>
  <si>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</si>
  <si>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</si>
  <si>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</si>
  <si>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</si>
  <si>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</si>
  <si>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</si>
  <si>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Peças</t>
  </si>
  <si>
    <t>Unidade</t>
  </si>
  <si>
    <t>Combustível</t>
  </si>
  <si>
    <t>Km/Dia</t>
  </si>
  <si>
    <t>Dias/Mês</t>
  </si>
  <si>
    <t>Valor Litro</t>
  </si>
  <si>
    <t>Consumo</t>
  </si>
  <si>
    <t>C.1</t>
  </si>
  <si>
    <t>Diesel</t>
  </si>
  <si>
    <t>Depreciação</t>
  </si>
  <si>
    <t>Valor veículo</t>
  </si>
  <si>
    <t>Valor Residual 10%</t>
  </si>
  <si>
    <t>Valor Depreciável</t>
  </si>
  <si>
    <t>D.1</t>
  </si>
  <si>
    <t>Valor Médio do Veículo</t>
  </si>
  <si>
    <t>Outros</t>
  </si>
  <si>
    <t>Valor unit.</t>
  </si>
  <si>
    <t>E.1</t>
  </si>
  <si>
    <t>Serviço</t>
  </si>
  <si>
    <t>Total de Insumos diversos</t>
  </si>
  <si>
    <t>3 - RESUMO DO CUSTO MENSAL</t>
  </si>
  <si>
    <t>Mão de obra</t>
  </si>
  <si>
    <t>Insumos diversos</t>
  </si>
  <si>
    <t>Subtotal (A+B+C)</t>
  </si>
  <si>
    <t>4 - CUSTOS INDIRETOS, LUCRO E TRIBUTOS SOBRE O CUSTO MENSAL</t>
  </si>
  <si>
    <t>Custos Indiretos, Tributos e Lucro</t>
  </si>
  <si>
    <t>Base de Cálculo</t>
  </si>
  <si>
    <t xml:space="preserve">Valor </t>
  </si>
  <si>
    <t>Custos indiretos (Despesas operacionais e administrativas)</t>
  </si>
  <si>
    <t>Lucro</t>
  </si>
  <si>
    <t>Tributos Federais</t>
  </si>
  <si>
    <t>PIS</t>
  </si>
  <si>
    <t>Custo mensal + custos indiretos + lucro</t>
  </si>
  <si>
    <t>COFINS</t>
  </si>
  <si>
    <r>
      <rPr>
        <sz val="1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9,25</t>
    </r>
    <r>
      <rPr>
        <sz val="10"/>
        <rFont val="Arial"/>
        <family val="2"/>
        <charset val="1"/>
      </rPr>
      <t>/100)</t>
    </r>
  </si>
  <si>
    <t>Tributo Municipal</t>
  </si>
  <si>
    <t>ISS</t>
  </si>
  <si>
    <t>Custo mensal + custos indiretos + lucro + tributos federais</t>
  </si>
  <si>
    <r>
      <rPr>
        <sz val="1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rFont val="Arial"/>
        <family val="2"/>
        <charset val="1"/>
      </rPr>
      <t>/100)</t>
    </r>
  </si>
  <si>
    <t>Retensão INSS</t>
  </si>
  <si>
    <r>
      <rPr>
        <sz val="1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3,30</t>
    </r>
    <r>
      <rPr>
        <sz val="10"/>
        <rFont val="Arial"/>
        <family val="2"/>
        <charset val="1"/>
      </rPr>
      <t>/100)</t>
    </r>
  </si>
  <si>
    <t>TOTAL</t>
  </si>
  <si>
    <t>5 - CÁLCULO DO ROTEIRO</t>
  </si>
  <si>
    <t>Custos indiretos, tributos e lucro</t>
  </si>
  <si>
    <t>Total mensal</t>
  </si>
  <si>
    <t>Valor do Km rodado</t>
  </si>
  <si>
    <t>Santa Maria, 28 de janeiro de 2023.</t>
  </si>
  <si>
    <t xml:space="preserve">KM </t>
  </si>
  <si>
    <t>ALUNOS</t>
  </si>
  <si>
    <t xml:space="preserve">Manutenção Mecânica incluindo peças e óleos lubrificantes. </t>
  </si>
  <si>
    <t>E.2</t>
  </si>
  <si>
    <t>Sistema de Rastreamento Veícular</t>
  </si>
  <si>
    <t xml:space="preserve">Pneus 275/80/22,5 </t>
  </si>
  <si>
    <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09/2023.</t>
    </r>
    <r>
      <rPr>
        <sz val="10"/>
        <color rgb="FF000000"/>
        <rFont val="Arial"/>
        <family val="2"/>
        <charset val="1"/>
      </rPr>
      <t xml:space="preserve"> </t>
    </r>
  </si>
  <si>
    <t>ÔNIBUS</t>
  </si>
  <si>
    <r>
      <t xml:space="preserve">Observação: </t>
    </r>
    <r>
      <rPr>
        <b/>
        <sz val="9"/>
        <color rgb="FF000000"/>
        <rFont val="Arial"/>
        <family val="2"/>
      </rPr>
      <t>Índices C</t>
    </r>
    <r>
      <rPr>
        <sz val="9"/>
        <color rgb="FF000000"/>
        <rFont val="Arial"/>
        <family val="2"/>
        <charset val="1"/>
      </rPr>
      <t>,  Lei nº 10.637/02, art. 2º e Lei 10.833/03, art. 2º.</t>
    </r>
  </si>
  <si>
    <r>
      <t xml:space="preserve">Observação: </t>
    </r>
    <r>
      <rPr>
        <b/>
        <sz val="9"/>
        <color rgb="FF000000"/>
        <rFont val="Arial"/>
        <family val="2"/>
      </rPr>
      <t>Índices D</t>
    </r>
    <r>
      <rPr>
        <sz val="9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</si>
  <si>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t>CÁLCULO DO TRANSPORTE ESCOLAR - ROTEIRO x.x.x.xx.xx</t>
  </si>
  <si>
    <t>Quant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</si>
</sst>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_-&quot;R$ &quot;* #,##0.00_-;&quot;-R$ &quot;* #,##0.00_-;_-&quot;R$ &quot;* \-??_-;_-@_-"/>
    <numFmt numFmtId="168" formatCode="0.0000"/>
    <numFmt numFmtId="169" formatCode="0.000"/>
    <numFmt numFmtId="170" formatCode="_-* #,##0.00_-;\-* #,##0.00_-;_-* \-??_-;_-@_-"/>
    <numFmt numFmtId="171" formatCode="d/m/yyyy"/>
    <numFmt numFmtId="172" formatCode="#,##0.0000"/>
  </numFmts>
  <fonts count="14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2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000000"/>
      <name val="Calibri "/>
      <charset val="1"/>
    </font>
    <font>
      <sz val="9"/>
      <color rgb="FF000000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u/>
      <sz val="11"/>
      <color rgb="FF0563C1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CCCCFF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70" fontId="2" fillId="0" borderId="0" applyBorder="0" applyProtection="0"/>
    <xf numFmtId="167" fontId="12" fillId="0" borderId="0" applyBorder="0" applyProtection="0"/>
    <xf numFmtId="0" fontId="11" fillId="0" borderId="0" applyBorder="0" applyProtection="0"/>
  </cellStyleXfs>
  <cellXfs count="143">
    <xf numFmtId="0" fontId="0" fillId="0" borderId="0" xfId="0"/>
    <xf numFmtId="0" fontId="1" fillId="0" borderId="0" xfId="0" applyFont="1"/>
    <xf numFmtId="0" fontId="2" fillId="0" borderId="0" xfId="0" applyFont="1"/>
    <xf numFmtId="0" fontId="2" fillId="3" borderId="0" xfId="0" applyFont="1" applyFill="1"/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 applyProtection="1">
      <alignment horizontal="center" wrapText="1"/>
      <protection locked="0"/>
    </xf>
    <xf numFmtId="0" fontId="4" fillId="3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/>
    </xf>
    <xf numFmtId="165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0" borderId="0" xfId="0" applyNumberFormat="1" applyFont="1"/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166" fontId="1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66" fontId="2" fillId="0" borderId="7" xfId="2" applyNumberFormat="1" applyFont="1" applyBorder="1" applyAlignment="1" applyProtection="1">
      <alignment horizontal="center" vertical="center" wrapText="1"/>
      <protection locked="0"/>
    </xf>
    <xf numFmtId="166" fontId="2" fillId="0" borderId="0" xfId="2" applyNumberFormat="1" applyFont="1" applyBorder="1" applyAlignment="1" applyProtection="1">
      <alignment horizontal="center" vertical="center" wrapText="1"/>
      <protection locked="0"/>
    </xf>
    <xf numFmtId="166" fontId="2" fillId="0" borderId="0" xfId="0" applyNumberFormat="1" applyFont="1"/>
    <xf numFmtId="164" fontId="2" fillId="0" borderId="0" xfId="0" applyNumberFormat="1" applyFont="1"/>
    <xf numFmtId="0" fontId="1" fillId="0" borderId="1" xfId="0" applyFont="1" applyBorder="1"/>
    <xf numFmtId="166" fontId="5" fillId="0" borderId="8" xfId="0" applyNumberFormat="1" applyFont="1" applyBorder="1" applyAlignment="1" applyProtection="1">
      <alignment horizontal="center" vertical="center" wrapText="1"/>
      <protection locked="0"/>
    </xf>
    <xf numFmtId="166" fontId="6" fillId="0" borderId="0" xfId="0" applyNumberFormat="1" applyFont="1"/>
    <xf numFmtId="4" fontId="2" fillId="0" borderId="0" xfId="0" applyNumberFormat="1" applyFont="1" applyAlignment="1">
      <alignment horizontal="center"/>
    </xf>
    <xf numFmtId="168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2" fontId="1" fillId="0" borderId="5" xfId="0" applyNumberFormat="1" applyFont="1" applyBorder="1" applyAlignment="1" applyProtection="1">
      <alignment horizontal="center" vertical="center" wrapText="1"/>
      <protection locked="0"/>
    </xf>
    <xf numFmtId="166" fontId="1" fillId="0" borderId="5" xfId="0" applyNumberFormat="1" applyFont="1" applyBorder="1" applyAlignment="1" applyProtection="1">
      <alignment horizontal="center" vertical="center" wrapText="1"/>
      <protection locked="0"/>
    </xf>
    <xf numFmtId="169" fontId="1" fillId="0" borderId="1" xfId="0" applyNumberFormat="1" applyFont="1" applyBorder="1" applyAlignment="1" applyProtection="1">
      <alignment horizontal="center" vertical="center" wrapText="1"/>
      <protection locked="0"/>
    </xf>
    <xf numFmtId="166" fontId="8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2" fontId="5" fillId="0" borderId="7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1" fillId="0" borderId="1" xfId="0" applyFont="1" applyBorder="1" applyAlignment="1" applyProtection="1">
      <alignment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10" fillId="0" borderId="0" xfId="0" applyNumberFormat="1" applyFont="1" applyAlignment="1">
      <alignment horizontal="center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right" vertical="center" wrapText="1"/>
      <protection locked="0"/>
    </xf>
    <xf numFmtId="170" fontId="2" fillId="0" borderId="1" xfId="1" applyBorder="1" applyAlignment="1" applyProtection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171" fontId="2" fillId="0" borderId="0" xfId="0" applyNumberFormat="1" applyFont="1"/>
    <xf numFmtId="0" fontId="11" fillId="0" borderId="0" xfId="3" applyBorder="1" applyProtection="1"/>
    <xf numFmtId="4" fontId="8" fillId="4" borderId="1" xfId="0" applyNumberFormat="1" applyFont="1" applyFill="1" applyBorder="1" applyAlignment="1">
      <alignment horizontal="center" vertical="center" wrapText="1"/>
    </xf>
    <xf numFmtId="167" fontId="1" fillId="0" borderId="1" xfId="2" applyFont="1" applyBorder="1" applyProtection="1"/>
    <xf numFmtId="10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2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72" fontId="4" fillId="0" borderId="7" xfId="0" applyNumberFormat="1" applyFont="1" applyBorder="1" applyAlignment="1">
      <alignment horizontal="center" vertical="center"/>
    </xf>
    <xf numFmtId="10" fontId="8" fillId="0" borderId="1" xfId="0" applyNumberFormat="1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/>
    <xf numFmtId="166" fontId="1" fillId="0" borderId="1" xfId="0" applyNumberFormat="1" applyFont="1" applyBorder="1"/>
    <xf numFmtId="164" fontId="5" fillId="0" borderId="1" xfId="0" applyNumberFormat="1" applyFont="1" applyBorder="1"/>
    <xf numFmtId="4" fontId="2" fillId="0" borderId="0" xfId="0" applyNumberFormat="1" applyFont="1"/>
    <xf numFmtId="0" fontId="1" fillId="0" borderId="0" xfId="0" applyFont="1" applyAlignment="1">
      <alignment horizontal="right"/>
    </xf>
    <xf numFmtId="164" fontId="2" fillId="5" borderId="1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164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/>
    </xf>
    <xf numFmtId="0" fontId="8" fillId="3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 applyAlignment="1" applyProtection="1">
      <alignment horizontal="center" vertical="center" wrapText="1"/>
      <protection locked="0"/>
    </xf>
    <xf numFmtId="10" fontId="4" fillId="0" borderId="5" xfId="0" applyNumberFormat="1" applyFont="1" applyBorder="1" applyAlignment="1" applyProtection="1">
      <alignment horizontal="center" vertical="center" wrapText="1"/>
      <protection locked="0"/>
    </xf>
    <xf numFmtId="16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horizontal="left" vertical="center" wrapText="1"/>
      <protection locked="0"/>
    </xf>
    <xf numFmtId="10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6" borderId="6" xfId="0" applyFont="1" applyFill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>
      <alignment horizontal="left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167" fontId="1" fillId="6" borderId="1" xfId="2" applyFont="1" applyFill="1" applyBorder="1" applyProtection="1"/>
    <xf numFmtId="164" fontId="2" fillId="3" borderId="1" xfId="0" applyNumberFormat="1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</cellXfs>
  <cellStyles count="4">
    <cellStyle name="Hiperlink" xfId="3" builtinId="8"/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45"/>
  <sheetViews>
    <sheetView tabSelected="1" topLeftCell="D1" zoomScale="90" zoomScaleNormal="90" workbookViewId="0">
      <selection activeCell="K4" sqref="K4"/>
    </sheetView>
  </sheetViews>
  <sheetFormatPr defaultColWidth="9.140625" defaultRowHeight="15"/>
  <cols>
    <col min="1" max="2" width="9.140625" style="1"/>
    <col min="3" max="3" width="25.140625" style="1" customWidth="1"/>
    <col min="4" max="4" width="18.85546875" style="1" customWidth="1"/>
    <col min="5" max="5" width="19.140625" style="1" customWidth="1"/>
    <col min="6" max="6" width="17.28515625" style="1" customWidth="1"/>
    <col min="7" max="7" width="19.85546875" style="1" customWidth="1"/>
    <col min="8" max="8" width="21" style="1" customWidth="1"/>
    <col min="9" max="9" width="18.42578125" style="1" customWidth="1"/>
    <col min="10" max="10" width="20.85546875" style="1" customWidth="1"/>
    <col min="11" max="11" width="17.85546875" style="2" customWidth="1"/>
    <col min="12" max="12" width="16.7109375" style="2" customWidth="1"/>
    <col min="13" max="13" width="15.42578125" style="2" bestFit="1" customWidth="1"/>
    <col min="14" max="14" width="10.140625" style="2" customWidth="1"/>
    <col min="15" max="16" width="10" style="2" customWidth="1"/>
    <col min="17" max="1024" width="9.140625" style="1"/>
  </cols>
  <sheetData>
    <row r="2" spans="3:16" ht="15.75">
      <c r="C2" s="88" t="s">
        <v>162</v>
      </c>
      <c r="D2" s="88"/>
      <c r="E2" s="88"/>
      <c r="F2" s="88"/>
      <c r="G2" s="88"/>
      <c r="H2" s="88"/>
      <c r="I2" s="88"/>
      <c r="J2" s="88"/>
      <c r="K2" s="2">
        <v>40</v>
      </c>
      <c r="L2" s="2" t="s">
        <v>153</v>
      </c>
      <c r="M2" s="2" t="s">
        <v>159</v>
      </c>
    </row>
    <row r="3" spans="3:16">
      <c r="C3" s="89"/>
      <c r="D3" s="89"/>
      <c r="E3" s="89"/>
      <c r="F3" s="89"/>
      <c r="G3" s="89"/>
      <c r="H3" s="89"/>
      <c r="I3" s="89"/>
      <c r="J3" s="89"/>
      <c r="K3" s="86">
        <v>122</v>
      </c>
      <c r="L3" s="2" t="s">
        <v>152</v>
      </c>
    </row>
    <row r="4" spans="3:16" ht="31.5" customHeight="1">
      <c r="C4" s="90"/>
      <c r="D4" s="90"/>
      <c r="E4" s="90"/>
      <c r="F4" s="90"/>
      <c r="G4" s="90"/>
      <c r="H4" s="90"/>
      <c r="I4" s="90"/>
      <c r="J4" s="90"/>
    </row>
    <row r="5" spans="3:16" ht="17.25" customHeight="1">
      <c r="C5" s="88" t="s">
        <v>0</v>
      </c>
      <c r="D5" s="88"/>
      <c r="E5" s="88"/>
      <c r="F5" s="88"/>
      <c r="G5" s="88"/>
      <c r="H5" s="88"/>
      <c r="I5" s="88"/>
      <c r="J5" s="88"/>
    </row>
    <row r="6" spans="3:16">
      <c r="C6" s="91"/>
      <c r="D6" s="91"/>
      <c r="E6" s="91"/>
      <c r="F6" s="91"/>
      <c r="G6" s="91"/>
      <c r="H6" s="91"/>
      <c r="I6" s="91"/>
      <c r="J6" s="91"/>
    </row>
    <row r="7" spans="3:16">
      <c r="C7" s="92" t="s">
        <v>1</v>
      </c>
      <c r="D7" s="92"/>
      <c r="E7" s="92"/>
      <c r="F7" s="92"/>
      <c r="G7" s="92"/>
      <c r="H7" s="92"/>
      <c r="I7" s="92"/>
      <c r="J7" s="92"/>
    </row>
    <row r="8" spans="3:16" ht="12.75" customHeight="1">
      <c r="C8" s="93" t="s">
        <v>2</v>
      </c>
      <c r="D8" s="93"/>
      <c r="E8" s="93"/>
      <c r="F8" s="4" t="s">
        <v>3</v>
      </c>
      <c r="G8" s="4" t="s">
        <v>4</v>
      </c>
      <c r="H8" s="5" t="s">
        <v>5</v>
      </c>
      <c r="I8" s="6" t="s">
        <v>6</v>
      </c>
      <c r="J8" s="7" t="s">
        <v>6</v>
      </c>
    </row>
    <row r="9" spans="3:16" ht="12.75" customHeight="1">
      <c r="C9" s="94" t="s">
        <v>7</v>
      </c>
      <c r="D9" s="94"/>
      <c r="E9" s="94"/>
      <c r="F9" s="8" t="s">
        <v>8</v>
      </c>
      <c r="G9" s="9" t="s">
        <v>9</v>
      </c>
      <c r="H9" s="10" t="s">
        <v>10</v>
      </c>
      <c r="I9" s="11">
        <v>2173.56</v>
      </c>
      <c r="J9" s="12">
        <f>((I9/220)*220)*K9</f>
        <v>2173.56</v>
      </c>
      <c r="K9" s="3">
        <v>1</v>
      </c>
    </row>
    <row r="10" spans="3:16" ht="12.75" customHeight="1">
      <c r="C10" s="94" t="s">
        <v>11</v>
      </c>
      <c r="D10" s="94"/>
      <c r="E10" s="94"/>
      <c r="F10" s="8" t="s">
        <v>8</v>
      </c>
      <c r="G10" s="9" t="s">
        <v>9</v>
      </c>
      <c r="H10" s="10" t="s">
        <v>10</v>
      </c>
      <c r="I10" s="11">
        <v>1392.17</v>
      </c>
      <c r="J10" s="12">
        <f>((I10/220)*220)*K9</f>
        <v>1392.17</v>
      </c>
    </row>
    <row r="11" spans="3:16" ht="12.75" customHeight="1">
      <c r="C11" s="94" t="s">
        <v>12</v>
      </c>
      <c r="D11" s="94"/>
      <c r="E11" s="94"/>
      <c r="F11" s="13"/>
      <c r="G11" s="14"/>
      <c r="H11" s="10"/>
      <c r="I11" s="11"/>
      <c r="J11" s="12"/>
    </row>
    <row r="12" spans="3:16" s="15" customFormat="1" ht="12.75" customHeight="1">
      <c r="C12" s="95"/>
      <c r="D12" s="95"/>
      <c r="E12" s="95"/>
      <c r="F12" s="95"/>
      <c r="G12" s="95"/>
      <c r="H12" s="95"/>
      <c r="I12" s="95"/>
      <c r="J12" s="95"/>
      <c r="K12" s="17"/>
      <c r="L12" s="17"/>
      <c r="M12" s="17"/>
      <c r="N12" s="17"/>
      <c r="O12" s="17"/>
      <c r="P12" s="17"/>
    </row>
    <row r="13" spans="3:16" ht="12.75" customHeight="1">
      <c r="C13" s="92" t="s">
        <v>13</v>
      </c>
      <c r="D13" s="92"/>
      <c r="E13" s="92"/>
      <c r="F13" s="92"/>
      <c r="G13" s="92"/>
      <c r="H13" s="92"/>
      <c r="I13" s="92"/>
      <c r="J13" s="92"/>
    </row>
    <row r="14" spans="3:16" ht="12.75" customHeight="1">
      <c r="C14" s="4">
        <v>1</v>
      </c>
      <c r="D14" s="93" t="s">
        <v>14</v>
      </c>
      <c r="E14" s="93"/>
      <c r="F14" s="93"/>
      <c r="G14" s="93"/>
      <c r="H14" s="93"/>
      <c r="I14" s="93"/>
      <c r="J14" s="18" t="s">
        <v>15</v>
      </c>
    </row>
    <row r="15" spans="3:16" ht="12.75" customHeight="1">
      <c r="C15" s="16" t="s">
        <v>16</v>
      </c>
      <c r="D15" s="96" t="s">
        <v>17</v>
      </c>
      <c r="E15" s="96"/>
      <c r="F15" s="96"/>
      <c r="G15" s="96"/>
      <c r="H15" s="16" t="s">
        <v>18</v>
      </c>
      <c r="I15" s="10" t="s">
        <v>19</v>
      </c>
      <c r="J15" s="19"/>
    </row>
    <row r="16" spans="3:16" ht="12.75" customHeight="1">
      <c r="C16" s="20" t="s">
        <v>20</v>
      </c>
      <c r="D16" s="96" t="str">
        <f>C9</f>
        <v>Motorista(CBO xxx)</v>
      </c>
      <c r="E16" s="96"/>
      <c r="F16" s="96"/>
      <c r="G16" s="96"/>
      <c r="H16" s="21">
        <v>1</v>
      </c>
      <c r="I16" s="22">
        <f>J9</f>
        <v>2173.56</v>
      </c>
      <c r="J16" s="19">
        <f>H16*I16</f>
        <v>2173.56</v>
      </c>
    </row>
    <row r="17" spans="3:12" ht="12.75" customHeight="1">
      <c r="C17" s="20" t="s">
        <v>21</v>
      </c>
      <c r="D17" s="96" t="str">
        <f>C10</f>
        <v>Monitor (CBO XXX)</v>
      </c>
      <c r="E17" s="96"/>
      <c r="F17" s="96"/>
      <c r="G17" s="96"/>
      <c r="H17" s="21">
        <v>1</v>
      </c>
      <c r="I17" s="22">
        <f>J10</f>
        <v>1392.17</v>
      </c>
      <c r="J17" s="19">
        <f>H17*I17</f>
        <v>1392.17</v>
      </c>
    </row>
    <row r="18" spans="3:12" ht="12.75" customHeight="1">
      <c r="C18" s="20"/>
      <c r="D18" s="96"/>
      <c r="E18" s="96"/>
      <c r="F18" s="96"/>
      <c r="G18" s="96"/>
      <c r="H18" s="21"/>
      <c r="I18" s="22"/>
      <c r="J18" s="19"/>
    </row>
    <row r="19" spans="3:12" ht="12.75" customHeight="1">
      <c r="C19" s="97" t="s">
        <v>22</v>
      </c>
      <c r="D19" s="97"/>
      <c r="E19" s="97"/>
      <c r="F19" s="97"/>
      <c r="G19" s="97"/>
      <c r="H19" s="97"/>
      <c r="I19" s="97"/>
      <c r="J19" s="24">
        <f>SUM(J16:J18)</f>
        <v>3565.73</v>
      </c>
      <c r="L19" s="25"/>
    </row>
    <row r="20" spans="3:12" ht="12.75" customHeight="1">
      <c r="C20" s="98"/>
      <c r="D20" s="98"/>
      <c r="E20" s="98"/>
      <c r="F20" s="98"/>
      <c r="G20" s="98"/>
      <c r="H20" s="98"/>
      <c r="I20" s="98"/>
      <c r="J20" s="98"/>
    </row>
    <row r="21" spans="3:12" ht="12.75" customHeight="1">
      <c r="C21" s="92" t="s">
        <v>23</v>
      </c>
      <c r="D21" s="92"/>
      <c r="E21" s="92"/>
      <c r="F21" s="92"/>
      <c r="G21" s="92"/>
      <c r="H21" s="92"/>
      <c r="I21" s="92"/>
      <c r="J21" s="92"/>
    </row>
    <row r="22" spans="3:12" ht="12.75" customHeight="1">
      <c r="C22" s="99"/>
      <c r="D22" s="99"/>
      <c r="E22" s="99"/>
      <c r="F22" s="99"/>
      <c r="G22" s="99"/>
      <c r="H22" s="99"/>
      <c r="I22" s="99"/>
      <c r="J22" s="99"/>
    </row>
    <row r="23" spans="3:12" ht="12.75" customHeight="1">
      <c r="C23" s="100" t="s">
        <v>24</v>
      </c>
      <c r="D23" s="100"/>
      <c r="E23" s="100"/>
      <c r="F23" s="100"/>
      <c r="G23" s="100"/>
      <c r="H23" s="100"/>
      <c r="I23" s="100"/>
      <c r="J23" s="100"/>
    </row>
    <row r="24" spans="3:12" ht="12.75" customHeight="1">
      <c r="C24" s="23" t="s">
        <v>25</v>
      </c>
      <c r="D24" s="101" t="s">
        <v>26</v>
      </c>
      <c r="E24" s="101"/>
      <c r="F24" s="101"/>
      <c r="G24" s="101"/>
      <c r="H24" s="101"/>
      <c r="I24" s="23" t="s">
        <v>27</v>
      </c>
      <c r="J24" s="26" t="s">
        <v>15</v>
      </c>
    </row>
    <row r="25" spans="3:12" ht="12.75" customHeight="1">
      <c r="C25" s="16" t="s">
        <v>16</v>
      </c>
      <c r="D25" s="96" t="s">
        <v>28</v>
      </c>
      <c r="E25" s="96"/>
      <c r="F25" s="96"/>
      <c r="G25" s="96"/>
      <c r="H25" s="96"/>
      <c r="I25" s="27">
        <f>1/12%</f>
        <v>8.3333333333333339</v>
      </c>
      <c r="J25" s="19">
        <f>I25*J19%</f>
        <v>297.14416666666671</v>
      </c>
    </row>
    <row r="26" spans="3:12" ht="12.75" customHeight="1">
      <c r="C26" s="16" t="s">
        <v>29</v>
      </c>
      <c r="D26" s="96" t="s">
        <v>30</v>
      </c>
      <c r="E26" s="96"/>
      <c r="F26" s="96"/>
      <c r="G26" s="96"/>
      <c r="H26" s="96"/>
      <c r="I26" s="27">
        <v>2.78</v>
      </c>
      <c r="J26" s="28">
        <f>I26*J19%</f>
        <v>99.127293999999992</v>
      </c>
    </row>
    <row r="27" spans="3:12" ht="12.75" customHeight="1">
      <c r="C27" s="97" t="s">
        <v>31</v>
      </c>
      <c r="D27" s="97"/>
      <c r="E27" s="97"/>
      <c r="F27" s="97"/>
      <c r="G27" s="97"/>
      <c r="H27" s="97"/>
      <c r="I27" s="97"/>
      <c r="J27" s="29">
        <f>SUM(J25:J26)</f>
        <v>396.27146066666671</v>
      </c>
    </row>
    <row r="28" spans="3:12" ht="12.75" customHeight="1">
      <c r="C28" s="102" t="s">
        <v>32</v>
      </c>
      <c r="D28" s="102"/>
      <c r="E28" s="102"/>
      <c r="F28" s="102"/>
      <c r="G28" s="102"/>
      <c r="H28" s="102"/>
      <c r="I28" s="102"/>
      <c r="J28" s="102"/>
    </row>
    <row r="29" spans="3:12" ht="12.75" customHeight="1">
      <c r="C29" s="103"/>
      <c r="D29" s="103"/>
      <c r="E29" s="103"/>
      <c r="F29" s="103"/>
      <c r="G29" s="103"/>
      <c r="H29" s="103"/>
      <c r="I29" s="103"/>
      <c r="J29" s="103"/>
    </row>
    <row r="30" spans="3:12" ht="12.75" customHeight="1">
      <c r="C30" s="100" t="s">
        <v>33</v>
      </c>
      <c r="D30" s="100"/>
      <c r="E30" s="100"/>
      <c r="F30" s="100"/>
      <c r="G30" s="100"/>
      <c r="H30" s="100"/>
      <c r="I30" s="100"/>
      <c r="J30" s="100"/>
    </row>
    <row r="31" spans="3:12" ht="12.75" customHeight="1">
      <c r="C31" s="23" t="s">
        <v>34</v>
      </c>
      <c r="D31" s="101" t="s">
        <v>35</v>
      </c>
      <c r="E31" s="101"/>
      <c r="F31" s="101"/>
      <c r="G31" s="101"/>
      <c r="H31" s="101"/>
      <c r="I31" s="23" t="s">
        <v>27</v>
      </c>
      <c r="J31" s="26" t="s">
        <v>15</v>
      </c>
    </row>
    <row r="32" spans="3:12" ht="12.75" customHeight="1">
      <c r="C32" s="16" t="s">
        <v>16</v>
      </c>
      <c r="D32" s="96" t="s">
        <v>36</v>
      </c>
      <c r="E32" s="96"/>
      <c r="F32" s="96"/>
      <c r="G32" s="96"/>
      <c r="H32" s="96"/>
      <c r="I32" s="30">
        <v>20</v>
      </c>
      <c r="J32" s="19">
        <f t="shared" ref="J32:J39" si="0">I32*($J$19%+$J$27%)</f>
        <v>792.40029213333332</v>
      </c>
    </row>
    <row r="33" spans="3:16" ht="12.75" customHeight="1">
      <c r="C33" s="16" t="s">
        <v>29</v>
      </c>
      <c r="D33" s="96" t="s">
        <v>37</v>
      </c>
      <c r="E33" s="96"/>
      <c r="F33" s="96"/>
      <c r="G33" s="96"/>
      <c r="H33" s="96"/>
      <c r="I33" s="30">
        <v>1.5</v>
      </c>
      <c r="J33" s="19">
        <f t="shared" si="0"/>
        <v>59.430021909999994</v>
      </c>
    </row>
    <row r="34" spans="3:16" ht="12.75" customHeight="1">
      <c r="C34" s="16" t="s">
        <v>38</v>
      </c>
      <c r="D34" s="96" t="s">
        <v>39</v>
      </c>
      <c r="E34" s="96"/>
      <c r="F34" s="96"/>
      <c r="G34" s="96"/>
      <c r="H34" s="96"/>
      <c r="I34" s="30">
        <v>1</v>
      </c>
      <c r="J34" s="19">
        <f t="shared" si="0"/>
        <v>39.620014606666665</v>
      </c>
    </row>
    <row r="35" spans="3:16" ht="12.75" customHeight="1">
      <c r="C35" s="16" t="s">
        <v>40</v>
      </c>
      <c r="D35" s="96" t="s">
        <v>41</v>
      </c>
      <c r="E35" s="96"/>
      <c r="F35" s="96"/>
      <c r="G35" s="96"/>
      <c r="H35" s="96"/>
      <c r="I35" s="30">
        <v>0.2</v>
      </c>
      <c r="J35" s="19">
        <f t="shared" si="0"/>
        <v>7.9240029213333329</v>
      </c>
    </row>
    <row r="36" spans="3:16" ht="12.75" customHeight="1">
      <c r="C36" s="16" t="s">
        <v>42</v>
      </c>
      <c r="D36" s="96" t="s">
        <v>43</v>
      </c>
      <c r="E36" s="96"/>
      <c r="F36" s="96"/>
      <c r="G36" s="96"/>
      <c r="H36" s="96"/>
      <c r="I36" s="30">
        <v>2.5</v>
      </c>
      <c r="J36" s="19">
        <f t="shared" si="0"/>
        <v>99.050036516666665</v>
      </c>
    </row>
    <row r="37" spans="3:16" ht="12.75" customHeight="1">
      <c r="C37" s="16" t="s">
        <v>44</v>
      </c>
      <c r="D37" s="96" t="s">
        <v>45</v>
      </c>
      <c r="E37" s="96"/>
      <c r="F37" s="96"/>
      <c r="G37" s="96"/>
      <c r="H37" s="96"/>
      <c r="I37" s="30">
        <v>8</v>
      </c>
      <c r="J37" s="19">
        <f t="shared" si="0"/>
        <v>316.96011685333332</v>
      </c>
    </row>
    <row r="38" spans="3:16" ht="12.75" customHeight="1">
      <c r="C38" s="16" t="s">
        <v>46</v>
      </c>
      <c r="D38" s="96" t="s">
        <v>47</v>
      </c>
      <c r="E38" s="96"/>
      <c r="F38" s="96"/>
      <c r="G38" s="96"/>
      <c r="H38" s="96"/>
      <c r="I38" s="30">
        <v>3</v>
      </c>
      <c r="J38" s="19">
        <f t="shared" si="0"/>
        <v>118.86004381999999</v>
      </c>
    </row>
    <row r="39" spans="3:16" ht="12.75" customHeight="1">
      <c r="C39" s="16" t="s">
        <v>48</v>
      </c>
      <c r="D39" s="96" t="s">
        <v>49</v>
      </c>
      <c r="E39" s="96"/>
      <c r="F39" s="96"/>
      <c r="G39" s="96"/>
      <c r="H39" s="96"/>
      <c r="I39" s="30">
        <v>0.6</v>
      </c>
      <c r="J39" s="19">
        <f t="shared" si="0"/>
        <v>23.772008763999999</v>
      </c>
    </row>
    <row r="40" spans="3:16" ht="12.75" customHeight="1">
      <c r="C40" s="97" t="s">
        <v>31</v>
      </c>
      <c r="D40" s="97"/>
      <c r="E40" s="97"/>
      <c r="F40" s="97"/>
      <c r="G40" s="97"/>
      <c r="H40" s="97"/>
      <c r="I40" s="31">
        <f>SUM(I32:I39)</f>
        <v>36.800000000000004</v>
      </c>
      <c r="J40" s="24">
        <f>SUM(J32:J39)</f>
        <v>1458.0165375253332</v>
      </c>
    </row>
    <row r="41" spans="3:16" ht="12.75" customHeight="1">
      <c r="C41" s="103"/>
      <c r="D41" s="103"/>
      <c r="E41" s="103"/>
      <c r="F41" s="103"/>
      <c r="G41" s="103"/>
      <c r="H41" s="103"/>
      <c r="I41" s="103"/>
      <c r="J41" s="103"/>
    </row>
    <row r="42" spans="3:16" ht="12.75" customHeight="1">
      <c r="C42" s="100" t="s">
        <v>50</v>
      </c>
      <c r="D42" s="100"/>
      <c r="E42" s="100"/>
      <c r="F42" s="100"/>
      <c r="G42" s="100"/>
      <c r="H42" s="100"/>
      <c r="I42" s="100"/>
      <c r="J42" s="100"/>
    </row>
    <row r="43" spans="3:16" ht="12.75" customHeight="1">
      <c r="C43" s="23" t="s">
        <v>51</v>
      </c>
      <c r="D43" s="97" t="s">
        <v>52</v>
      </c>
      <c r="E43" s="97"/>
      <c r="F43" s="97"/>
      <c r="G43" s="97"/>
      <c r="H43" s="97"/>
      <c r="I43" s="16"/>
      <c r="J43" s="32" t="s">
        <v>15</v>
      </c>
    </row>
    <row r="44" spans="3:16" ht="12.75" customHeight="1">
      <c r="C44" s="16" t="s">
        <v>16</v>
      </c>
      <c r="D44" s="104" t="s">
        <v>53</v>
      </c>
      <c r="E44" s="104"/>
      <c r="F44" s="104"/>
      <c r="G44" s="104"/>
      <c r="H44" s="16" t="s">
        <v>54</v>
      </c>
      <c r="I44" s="21" t="s">
        <v>55</v>
      </c>
      <c r="J44" s="33"/>
    </row>
    <row r="45" spans="3:16" ht="12.75" customHeight="1">
      <c r="C45" s="20" t="s">
        <v>20</v>
      </c>
      <c r="D45" s="96" t="str">
        <f>D16</f>
        <v>Motorista(CBO xxx)</v>
      </c>
      <c r="E45" s="96"/>
      <c r="F45" s="96"/>
      <c r="G45" s="96"/>
      <c r="H45" s="21">
        <f>H16</f>
        <v>1</v>
      </c>
      <c r="I45" s="105">
        <v>4</v>
      </c>
      <c r="J45" s="33">
        <f>(((I45*22*2)-(I16*6%))*H45)*K9</f>
        <v>45.586399999999998</v>
      </c>
      <c r="L45" s="34"/>
      <c r="M45" s="35"/>
      <c r="N45" s="36"/>
      <c r="O45" s="35"/>
      <c r="P45" s="35"/>
    </row>
    <row r="46" spans="3:16" ht="12.75" customHeight="1">
      <c r="C46" s="20" t="s">
        <v>21</v>
      </c>
      <c r="D46" s="96" t="str">
        <f>D17</f>
        <v>Monitor (CBO XXX)</v>
      </c>
      <c r="E46" s="96"/>
      <c r="F46" s="96"/>
      <c r="G46" s="96"/>
      <c r="H46" s="21">
        <f>H17</f>
        <v>1</v>
      </c>
      <c r="I46" s="105"/>
      <c r="J46" s="33">
        <f>(((I45*22*2)-(I17*6%))*H46)*K9</f>
        <v>92.469799999999992</v>
      </c>
    </row>
    <row r="47" spans="3:16" ht="12.75" customHeight="1">
      <c r="C47" s="20"/>
      <c r="D47" s="96" t="s">
        <v>158</v>
      </c>
      <c r="E47" s="96"/>
      <c r="F47" s="96"/>
      <c r="G47" s="96"/>
      <c r="H47" s="21"/>
      <c r="I47" s="105"/>
      <c r="J47" s="33"/>
    </row>
    <row r="48" spans="3:16" ht="12.75" customHeight="1">
      <c r="C48" s="16" t="s">
        <v>29</v>
      </c>
      <c r="D48" s="96" t="s">
        <v>56</v>
      </c>
      <c r="E48" s="96"/>
      <c r="F48" s="96"/>
      <c r="G48" s="96"/>
      <c r="H48" s="96"/>
      <c r="I48" s="10" t="s">
        <v>57</v>
      </c>
      <c r="J48" s="37"/>
    </row>
    <row r="49" spans="3:14" ht="12.75" customHeight="1">
      <c r="C49" s="20" t="s">
        <v>58</v>
      </c>
      <c r="D49" s="96" t="str">
        <f>D45</f>
        <v>Motorista(CBO xxx)</v>
      </c>
      <c r="E49" s="96"/>
      <c r="F49" s="96"/>
      <c r="G49" s="96"/>
      <c r="H49" s="96"/>
      <c r="I49" s="106" t="str">
        <f>G9</f>
        <v>RS002849/2022</v>
      </c>
      <c r="J49" s="33">
        <f>(292.74-20)*K9</f>
        <v>272.74</v>
      </c>
      <c r="K49" s="2" t="s">
        <v>59</v>
      </c>
    </row>
    <row r="50" spans="3:14" ht="12.75" customHeight="1">
      <c r="C50" s="20" t="s">
        <v>60</v>
      </c>
      <c r="D50" s="96" t="str">
        <f>D46</f>
        <v>Monitor (CBO XXX)</v>
      </c>
      <c r="E50" s="96"/>
      <c r="F50" s="96"/>
      <c r="G50" s="96"/>
      <c r="H50" s="96"/>
      <c r="I50" s="106"/>
      <c r="J50" s="33">
        <f>(280.46-20)*K9</f>
        <v>260.45999999999998</v>
      </c>
      <c r="K50" s="2" t="s">
        <v>59</v>
      </c>
    </row>
    <row r="51" spans="3:14" ht="12.75" customHeight="1">
      <c r="C51" s="20"/>
      <c r="D51" s="96"/>
      <c r="E51" s="96"/>
      <c r="F51" s="96"/>
      <c r="G51" s="96"/>
      <c r="H51" s="96"/>
      <c r="I51" s="106"/>
      <c r="J51" s="33"/>
    </row>
    <row r="52" spans="3:14" ht="12.75" customHeight="1">
      <c r="C52" s="97" t="s">
        <v>31</v>
      </c>
      <c r="D52" s="97"/>
      <c r="E52" s="97"/>
      <c r="F52" s="97"/>
      <c r="G52" s="97"/>
      <c r="H52" s="97"/>
      <c r="I52" s="97"/>
      <c r="J52" s="38">
        <f>SUM(J44:J51)</f>
        <v>671.25620000000004</v>
      </c>
    </row>
    <row r="53" spans="3:14" ht="12.75" customHeight="1">
      <c r="C53" s="107"/>
      <c r="D53" s="107"/>
      <c r="E53" s="107"/>
      <c r="F53" s="107"/>
      <c r="G53" s="107"/>
      <c r="H53" s="107"/>
      <c r="I53" s="107"/>
      <c r="J53" s="107"/>
    </row>
    <row r="54" spans="3:14" ht="12.75" customHeight="1">
      <c r="C54" s="100" t="s">
        <v>61</v>
      </c>
      <c r="D54" s="100"/>
      <c r="E54" s="100"/>
      <c r="F54" s="100"/>
      <c r="G54" s="100"/>
      <c r="H54" s="100"/>
      <c r="I54" s="100"/>
      <c r="J54" s="100"/>
    </row>
    <row r="55" spans="3:14" ht="12.75" customHeight="1">
      <c r="C55" s="23">
        <v>2</v>
      </c>
      <c r="D55" s="97" t="s">
        <v>62</v>
      </c>
      <c r="E55" s="97"/>
      <c r="F55" s="97"/>
      <c r="G55" s="97"/>
      <c r="H55" s="97"/>
      <c r="I55" s="97"/>
      <c r="J55" s="26" t="s">
        <v>15</v>
      </c>
    </row>
    <row r="56" spans="3:14" ht="12.75" customHeight="1">
      <c r="C56" s="16" t="s">
        <v>25</v>
      </c>
      <c r="D56" s="96" t="s">
        <v>63</v>
      </c>
      <c r="E56" s="96"/>
      <c r="F56" s="96"/>
      <c r="G56" s="96"/>
      <c r="H56" s="96"/>
      <c r="I56" s="96"/>
      <c r="J56" s="19">
        <f>J27</f>
        <v>396.27146066666671</v>
      </c>
    </row>
    <row r="57" spans="3:14" ht="12.75" customHeight="1">
      <c r="C57" s="16" t="s">
        <v>34</v>
      </c>
      <c r="D57" s="96" t="s">
        <v>35</v>
      </c>
      <c r="E57" s="96"/>
      <c r="F57" s="96"/>
      <c r="G57" s="96"/>
      <c r="H57" s="96"/>
      <c r="I57" s="96"/>
      <c r="J57" s="19">
        <f>J40</f>
        <v>1458.0165375253332</v>
      </c>
    </row>
    <row r="58" spans="3:14" ht="12.75" customHeight="1">
      <c r="C58" s="16" t="s">
        <v>51</v>
      </c>
      <c r="D58" s="96" t="s">
        <v>52</v>
      </c>
      <c r="E58" s="96"/>
      <c r="F58" s="96"/>
      <c r="G58" s="96"/>
      <c r="H58" s="96"/>
      <c r="I58" s="96"/>
      <c r="J58" s="19">
        <f>J52</f>
        <v>671.25620000000004</v>
      </c>
    </row>
    <row r="59" spans="3:14" ht="12.75" customHeight="1">
      <c r="C59" s="97" t="s">
        <v>31</v>
      </c>
      <c r="D59" s="97"/>
      <c r="E59" s="97"/>
      <c r="F59" s="97"/>
      <c r="G59" s="97"/>
      <c r="H59" s="97"/>
      <c r="I59" s="97"/>
      <c r="J59" s="24">
        <f>SUM(J56:J58)</f>
        <v>2525.5441981920003</v>
      </c>
      <c r="L59" s="25"/>
      <c r="N59" s="35"/>
    </row>
    <row r="60" spans="3:14" ht="12.75" customHeight="1">
      <c r="C60" s="108"/>
      <c r="D60" s="108"/>
      <c r="E60" s="108"/>
      <c r="F60" s="108"/>
      <c r="G60" s="108"/>
      <c r="H60" s="108"/>
      <c r="I60" s="108"/>
      <c r="J60" s="108"/>
    </row>
    <row r="61" spans="3:14" ht="12.75" customHeight="1">
      <c r="C61" s="109" t="s">
        <v>64</v>
      </c>
      <c r="D61" s="109"/>
      <c r="E61" s="109"/>
      <c r="F61" s="109"/>
      <c r="G61" s="109"/>
      <c r="H61" s="109"/>
      <c r="I61" s="109"/>
      <c r="J61" s="109"/>
    </row>
    <row r="62" spans="3:14" ht="12.75" customHeight="1">
      <c r="C62" s="23">
        <v>3</v>
      </c>
      <c r="D62" s="97" t="s">
        <v>65</v>
      </c>
      <c r="E62" s="97"/>
      <c r="F62" s="97"/>
      <c r="G62" s="97"/>
      <c r="H62" s="97"/>
      <c r="I62" s="23" t="s">
        <v>27</v>
      </c>
      <c r="J62" s="26" t="s">
        <v>15</v>
      </c>
    </row>
    <row r="63" spans="3:14" ht="12.75" customHeight="1">
      <c r="C63" s="16" t="s">
        <v>16</v>
      </c>
      <c r="D63" s="110" t="s">
        <v>66</v>
      </c>
      <c r="E63" s="110"/>
      <c r="F63" s="110"/>
      <c r="G63" s="110"/>
      <c r="H63" s="110"/>
      <c r="I63" s="27">
        <v>0.42</v>
      </c>
      <c r="J63" s="19">
        <f>I63*($J$19%)</f>
        <v>14.976065999999999</v>
      </c>
      <c r="K63" s="39"/>
      <c r="L63" s="40"/>
    </row>
    <row r="64" spans="3:14" ht="12.75" customHeight="1">
      <c r="C64" s="16" t="s">
        <v>29</v>
      </c>
      <c r="D64" s="96" t="s">
        <v>67</v>
      </c>
      <c r="E64" s="96"/>
      <c r="F64" s="96"/>
      <c r="G64" s="96"/>
      <c r="H64" s="96"/>
      <c r="I64" s="41">
        <v>3.3599999999999998E-2</v>
      </c>
      <c r="J64" s="19">
        <f>I64*$J$19%</f>
        <v>1.1980852799999999</v>
      </c>
      <c r="K64" s="35"/>
      <c r="L64" s="40"/>
    </row>
    <row r="65" spans="3:12" ht="12.75" customHeight="1">
      <c r="C65" s="42" t="s">
        <v>38</v>
      </c>
      <c r="D65" s="96" t="s">
        <v>68</v>
      </c>
      <c r="E65" s="96"/>
      <c r="F65" s="96"/>
      <c r="G65" s="96"/>
      <c r="H65" s="96"/>
      <c r="I65" s="43">
        <v>3.44</v>
      </c>
      <c r="J65" s="44">
        <f>I65*J63%</f>
        <v>0.51517667039999993</v>
      </c>
      <c r="L65" s="40"/>
    </row>
    <row r="66" spans="3:12" ht="12.75" customHeight="1">
      <c r="C66" s="16" t="s">
        <v>40</v>
      </c>
      <c r="D66" s="111" t="s">
        <v>69</v>
      </c>
      <c r="E66" s="111"/>
      <c r="F66" s="111"/>
      <c r="G66" s="111"/>
      <c r="H66" s="111"/>
      <c r="I66" s="27">
        <v>1.94</v>
      </c>
      <c r="J66" s="19">
        <f>I66*$J$19%</f>
        <v>69.175162</v>
      </c>
      <c r="L66" s="40"/>
    </row>
    <row r="67" spans="3:12" ht="12.75" customHeight="1">
      <c r="C67" s="16" t="s">
        <v>42</v>
      </c>
      <c r="D67" s="96" t="s">
        <v>70</v>
      </c>
      <c r="E67" s="96"/>
      <c r="F67" s="96"/>
      <c r="G67" s="96"/>
      <c r="H67" s="96"/>
      <c r="I67" s="27">
        <v>0.72</v>
      </c>
      <c r="J67" s="19">
        <f>I67*$J$19%</f>
        <v>25.673255999999999</v>
      </c>
      <c r="L67" s="40"/>
    </row>
    <row r="68" spans="3:12" ht="12.75" customHeight="1">
      <c r="C68" s="16" t="s">
        <v>44</v>
      </c>
      <c r="D68" s="96" t="s">
        <v>71</v>
      </c>
      <c r="E68" s="96"/>
      <c r="F68" s="96"/>
      <c r="G68" s="96"/>
      <c r="H68" s="96"/>
      <c r="I68" s="45">
        <v>6.2E-2</v>
      </c>
      <c r="J68" s="19">
        <f>I68*J66%</f>
        <v>4.2888600440000001E-2</v>
      </c>
      <c r="L68" s="40"/>
    </row>
    <row r="69" spans="3:12" ht="12.75" customHeight="1">
      <c r="C69" s="97" t="s">
        <v>31</v>
      </c>
      <c r="D69" s="97"/>
      <c r="E69" s="97"/>
      <c r="F69" s="97"/>
      <c r="G69" s="97"/>
      <c r="H69" s="97"/>
      <c r="I69" s="97"/>
      <c r="J69" s="46">
        <f>SUM(J63:J68)</f>
        <v>111.58063455083999</v>
      </c>
      <c r="L69" s="25"/>
    </row>
    <row r="70" spans="3:12" ht="29.25" customHeight="1">
      <c r="C70" s="112" t="s">
        <v>72</v>
      </c>
      <c r="D70" s="112"/>
      <c r="E70" s="112"/>
      <c r="F70" s="112"/>
      <c r="G70" s="112"/>
      <c r="H70" s="112"/>
      <c r="I70" s="112"/>
      <c r="J70" s="112"/>
      <c r="L70" s="25"/>
    </row>
    <row r="71" spans="3:12">
      <c r="C71" s="103"/>
      <c r="D71" s="103"/>
      <c r="E71" s="103"/>
      <c r="F71" s="103"/>
      <c r="G71" s="103"/>
      <c r="H71" s="103"/>
      <c r="I71" s="103"/>
      <c r="J71" s="103"/>
    </row>
    <row r="72" spans="3:12" ht="12.75" customHeight="1">
      <c r="C72" s="109" t="s">
        <v>73</v>
      </c>
      <c r="D72" s="109"/>
      <c r="E72" s="109"/>
      <c r="F72" s="109"/>
      <c r="G72" s="109"/>
      <c r="H72" s="109"/>
      <c r="I72" s="109"/>
      <c r="J72" s="109"/>
    </row>
    <row r="73" spans="3:12" ht="12.75" customHeight="1">
      <c r="C73" s="23" t="s">
        <v>74</v>
      </c>
      <c r="D73" s="97" t="s">
        <v>75</v>
      </c>
      <c r="E73" s="97"/>
      <c r="F73" s="97"/>
      <c r="G73" s="97"/>
      <c r="H73" s="97"/>
      <c r="I73" s="23" t="s">
        <v>27</v>
      </c>
      <c r="J73" s="26" t="s">
        <v>76</v>
      </c>
    </row>
    <row r="74" spans="3:12" ht="12.75" customHeight="1">
      <c r="C74" s="16" t="s">
        <v>16</v>
      </c>
      <c r="D74" s="96" t="s">
        <v>77</v>
      </c>
      <c r="E74" s="96"/>
      <c r="F74" s="96"/>
      <c r="G74" s="96"/>
      <c r="H74" s="96"/>
      <c r="I74" s="27">
        <v>8.33</v>
      </c>
      <c r="J74" s="12">
        <f t="shared" ref="J74:J79" si="1">I74*$J$19%</f>
        <v>297.02530899999999</v>
      </c>
      <c r="L74" s="25"/>
    </row>
    <row r="75" spans="3:12" ht="12.75" customHeight="1">
      <c r="C75" s="16" t="s">
        <v>29</v>
      </c>
      <c r="D75" s="96" t="s">
        <v>78</v>
      </c>
      <c r="E75" s="96"/>
      <c r="F75" s="96"/>
      <c r="G75" s="96"/>
      <c r="H75" s="96"/>
      <c r="I75" s="16">
        <v>1.39</v>
      </c>
      <c r="J75" s="12">
        <f t="shared" si="1"/>
        <v>49.563646999999996</v>
      </c>
      <c r="L75" s="25"/>
    </row>
    <row r="76" spans="3:12" ht="12.75" customHeight="1">
      <c r="C76" s="16" t="s">
        <v>38</v>
      </c>
      <c r="D76" s="96" t="s">
        <v>79</v>
      </c>
      <c r="E76" s="96"/>
      <c r="F76" s="96"/>
      <c r="G76" s="96"/>
      <c r="H76" s="96"/>
      <c r="I76" s="16">
        <v>0.28999999999999998</v>
      </c>
      <c r="J76" s="12">
        <f t="shared" si="1"/>
        <v>10.340617</v>
      </c>
      <c r="L76" s="25"/>
    </row>
    <row r="77" spans="3:12" ht="12.75" customHeight="1">
      <c r="C77" s="16" t="s">
        <v>40</v>
      </c>
      <c r="D77" s="96" t="s">
        <v>80</v>
      </c>
      <c r="E77" s="96"/>
      <c r="F77" s="96"/>
      <c r="G77" s="96"/>
      <c r="H77" s="96"/>
      <c r="I77" s="16">
        <v>0.02</v>
      </c>
      <c r="J77" s="12">
        <f t="shared" si="1"/>
        <v>0.71314599999999995</v>
      </c>
      <c r="L77" s="25"/>
    </row>
    <row r="78" spans="3:12" ht="12.75" customHeight="1">
      <c r="C78" s="16" t="s">
        <v>42</v>
      </c>
      <c r="D78" s="96" t="s">
        <v>81</v>
      </c>
      <c r="E78" s="96"/>
      <c r="F78" s="96"/>
      <c r="G78" s="96"/>
      <c r="H78" s="96"/>
      <c r="I78" s="16">
        <v>0.28000000000000003</v>
      </c>
      <c r="J78" s="12">
        <f t="shared" si="1"/>
        <v>9.9840440000000008</v>
      </c>
      <c r="L78" s="25"/>
    </row>
    <row r="79" spans="3:12" ht="12.75" customHeight="1">
      <c r="C79" s="16" t="s">
        <v>44</v>
      </c>
      <c r="D79" s="96" t="s">
        <v>82</v>
      </c>
      <c r="E79" s="96"/>
      <c r="F79" s="96"/>
      <c r="G79" s="96"/>
      <c r="H79" s="96"/>
      <c r="I79" s="16">
        <v>7.0000000000000007E-2</v>
      </c>
      <c r="J79" s="12">
        <f t="shared" si="1"/>
        <v>2.4960110000000002</v>
      </c>
      <c r="L79" s="25"/>
    </row>
    <row r="80" spans="3:12" ht="12.75" customHeight="1">
      <c r="C80" s="16"/>
      <c r="D80" s="96" t="s">
        <v>83</v>
      </c>
      <c r="E80" s="96"/>
      <c r="F80" s="96"/>
      <c r="G80" s="96"/>
      <c r="H80" s="96"/>
      <c r="I80" s="27">
        <f>SUM(I74:I79)</f>
        <v>10.379999999999999</v>
      </c>
      <c r="J80" s="12">
        <f>SUM(J74:J79)</f>
        <v>370.12277399999999</v>
      </c>
      <c r="L80" s="25"/>
    </row>
    <row r="81" spans="3:15" ht="12.75" customHeight="1">
      <c r="C81" s="16" t="s">
        <v>46</v>
      </c>
      <c r="D81" s="96" t="s">
        <v>84</v>
      </c>
      <c r="E81" s="96"/>
      <c r="F81" s="96"/>
      <c r="G81" s="96"/>
      <c r="H81" s="96"/>
      <c r="I81" s="16">
        <v>1.96</v>
      </c>
      <c r="J81" s="12">
        <f>I81*$J$19%</f>
        <v>69.888307999999995</v>
      </c>
      <c r="L81" s="25"/>
    </row>
    <row r="82" spans="3:15" ht="12.75" customHeight="1">
      <c r="C82" s="16"/>
      <c r="D82" s="96" t="s">
        <v>85</v>
      </c>
      <c r="E82" s="96"/>
      <c r="F82" s="96"/>
      <c r="G82" s="96"/>
      <c r="H82" s="96"/>
      <c r="I82" s="27">
        <f>I80+I81</f>
        <v>12.34</v>
      </c>
      <c r="J82" s="12">
        <f>J80+J81</f>
        <v>440.01108199999999</v>
      </c>
      <c r="L82" s="25"/>
    </row>
    <row r="83" spans="3:15" ht="12.75" customHeight="1">
      <c r="C83" s="16" t="s">
        <v>48</v>
      </c>
      <c r="D83" s="96" t="s">
        <v>86</v>
      </c>
      <c r="E83" s="96"/>
      <c r="F83" s="96"/>
      <c r="G83" s="96"/>
      <c r="H83" s="96"/>
      <c r="I83" s="16">
        <v>4.4800000000000004</v>
      </c>
      <c r="J83" s="12">
        <f>I83*$J$19%</f>
        <v>159.74470400000001</v>
      </c>
      <c r="L83" s="25"/>
    </row>
    <row r="84" spans="3:15" ht="12.75" customHeight="1">
      <c r="C84" s="47"/>
      <c r="D84" s="97" t="s">
        <v>31</v>
      </c>
      <c r="E84" s="97"/>
      <c r="F84" s="97"/>
      <c r="G84" s="97"/>
      <c r="H84" s="97"/>
      <c r="I84" s="48">
        <f>I82+I83</f>
        <v>16.82</v>
      </c>
      <c r="J84" s="24">
        <f>J82+J83</f>
        <v>599.75578599999994</v>
      </c>
      <c r="K84" s="35"/>
      <c r="L84" s="35"/>
    </row>
    <row r="85" spans="3:15" ht="12.75" customHeight="1">
      <c r="C85" s="102" t="s">
        <v>32</v>
      </c>
      <c r="D85" s="102"/>
      <c r="E85" s="102"/>
      <c r="F85" s="102"/>
      <c r="G85" s="102"/>
      <c r="H85" s="102"/>
      <c r="I85" s="102"/>
      <c r="J85" s="102"/>
    </row>
    <row r="86" spans="3:15" ht="12.75" customHeight="1">
      <c r="C86" s="103"/>
      <c r="D86" s="103"/>
      <c r="E86" s="103"/>
      <c r="F86" s="103"/>
      <c r="G86" s="103"/>
      <c r="H86" s="103"/>
      <c r="I86" s="103"/>
      <c r="J86" s="103"/>
    </row>
    <row r="87" spans="3:15" ht="12.75" customHeight="1">
      <c r="C87" s="100" t="s">
        <v>87</v>
      </c>
      <c r="D87" s="100"/>
      <c r="E87" s="100"/>
      <c r="F87" s="100"/>
      <c r="G87" s="100"/>
      <c r="H87" s="100"/>
      <c r="I87" s="100"/>
      <c r="J87" s="100"/>
    </row>
    <row r="88" spans="3:15" ht="12.75" customHeight="1">
      <c r="C88" s="16"/>
      <c r="D88" s="97" t="s">
        <v>88</v>
      </c>
      <c r="E88" s="97"/>
      <c r="F88" s="97"/>
      <c r="G88" s="97"/>
      <c r="H88" s="97"/>
      <c r="I88" s="97"/>
      <c r="J88" s="23" t="s">
        <v>15</v>
      </c>
    </row>
    <row r="89" spans="3:15" ht="12.75" customHeight="1">
      <c r="C89" s="16" t="s">
        <v>16</v>
      </c>
      <c r="D89" s="96" t="s">
        <v>13</v>
      </c>
      <c r="E89" s="96"/>
      <c r="F89" s="96"/>
      <c r="G89" s="96"/>
      <c r="H89" s="96"/>
      <c r="I89" s="96"/>
      <c r="J89" s="12">
        <f>J19</f>
        <v>3565.73</v>
      </c>
    </row>
    <row r="90" spans="3:15" ht="12.75" customHeight="1">
      <c r="C90" s="16" t="s">
        <v>29</v>
      </c>
      <c r="D90" s="96" t="s">
        <v>23</v>
      </c>
      <c r="E90" s="96"/>
      <c r="F90" s="96"/>
      <c r="G90" s="96"/>
      <c r="H90" s="96"/>
      <c r="I90" s="96"/>
      <c r="J90" s="12">
        <f>J59</f>
        <v>2525.5441981920003</v>
      </c>
    </row>
    <row r="91" spans="3:15" ht="12.75" customHeight="1">
      <c r="C91" s="16" t="s">
        <v>38</v>
      </c>
      <c r="D91" s="96" t="s">
        <v>89</v>
      </c>
      <c r="E91" s="96"/>
      <c r="F91" s="96"/>
      <c r="G91" s="96"/>
      <c r="H91" s="96"/>
      <c r="I91" s="96"/>
      <c r="J91" s="12">
        <f>J69</f>
        <v>111.58063455083999</v>
      </c>
    </row>
    <row r="92" spans="3:15" ht="12.75" customHeight="1">
      <c r="C92" s="16" t="s">
        <v>40</v>
      </c>
      <c r="D92" s="96" t="s">
        <v>73</v>
      </c>
      <c r="E92" s="96"/>
      <c r="F92" s="96"/>
      <c r="G92" s="96"/>
      <c r="H92" s="96"/>
      <c r="I92" s="96"/>
      <c r="J92" s="12">
        <f>J84</f>
        <v>599.75578599999994</v>
      </c>
      <c r="O92" s="49"/>
    </row>
    <row r="93" spans="3:15" ht="12.75" customHeight="1">
      <c r="C93" s="50"/>
      <c r="D93" s="101" t="s">
        <v>90</v>
      </c>
      <c r="E93" s="101"/>
      <c r="F93" s="101"/>
      <c r="G93" s="101"/>
      <c r="H93" s="101"/>
      <c r="I93" s="101"/>
      <c r="J93" s="51">
        <f>SUM(J89:J92)</f>
        <v>6802.6106187428404</v>
      </c>
      <c r="K93" s="52"/>
      <c r="L93" s="52"/>
      <c r="M93" s="52"/>
      <c r="N93" s="52"/>
      <c r="O93" s="49"/>
    </row>
    <row r="94" spans="3:15" ht="30" customHeight="1">
      <c r="C94" s="117"/>
      <c r="D94" s="117"/>
      <c r="E94" s="117"/>
      <c r="F94" s="117"/>
      <c r="G94" s="117"/>
      <c r="H94" s="117"/>
      <c r="I94" s="117"/>
      <c r="J94" s="117"/>
      <c r="K94" s="49"/>
      <c r="L94" s="49"/>
      <c r="M94" s="49"/>
      <c r="N94" s="49"/>
    </row>
    <row r="95" spans="3:15" ht="17.25" customHeight="1">
      <c r="C95" s="88" t="s">
        <v>91</v>
      </c>
      <c r="D95" s="88"/>
      <c r="E95" s="88"/>
      <c r="F95" s="88"/>
      <c r="G95" s="88"/>
      <c r="H95" s="88"/>
      <c r="I95" s="88"/>
      <c r="J95" s="88"/>
    </row>
    <row r="96" spans="3:15" ht="12.75" customHeight="1">
      <c r="C96" s="53" t="s">
        <v>16</v>
      </c>
      <c r="D96" s="118" t="s">
        <v>92</v>
      </c>
      <c r="E96" s="118"/>
      <c r="F96" s="54" t="s">
        <v>93</v>
      </c>
      <c r="G96" s="55" t="s">
        <v>94</v>
      </c>
      <c r="H96" s="4" t="s">
        <v>95</v>
      </c>
      <c r="I96" s="56" t="s">
        <v>96</v>
      </c>
      <c r="J96" s="18" t="s">
        <v>97</v>
      </c>
    </row>
    <row r="97" spans="3:24" ht="24.75" customHeight="1">
      <c r="C97" s="57" t="s">
        <v>20</v>
      </c>
      <c r="D97" s="115" t="s">
        <v>98</v>
      </c>
      <c r="E97" s="115"/>
      <c r="F97" s="58">
        <v>0</v>
      </c>
      <c r="G97" s="59" t="s">
        <v>99</v>
      </c>
      <c r="H97" s="60"/>
      <c r="I97" s="87"/>
      <c r="J97" s="28">
        <f>(F97*H97)*K9</f>
        <v>0</v>
      </c>
    </row>
    <row r="98" spans="3:24" ht="12.75" customHeight="1">
      <c r="C98" s="57" t="s">
        <v>21</v>
      </c>
      <c r="D98" s="115" t="s">
        <v>100</v>
      </c>
      <c r="E98" s="115"/>
      <c r="F98" s="58">
        <f>1/12</f>
        <v>8.3333333333333329E-2</v>
      </c>
      <c r="G98" s="59" t="s">
        <v>99</v>
      </c>
      <c r="H98" s="60"/>
      <c r="I98" s="87"/>
      <c r="J98" s="28">
        <f>(F98*H98)*K9</f>
        <v>0</v>
      </c>
    </row>
    <row r="99" spans="3:24" ht="12.75" customHeight="1">
      <c r="C99" s="57" t="s">
        <v>101</v>
      </c>
      <c r="D99" s="115" t="s">
        <v>102</v>
      </c>
      <c r="E99" s="115"/>
      <c r="F99" s="58">
        <f>1/6</f>
        <v>0.16666666666666666</v>
      </c>
      <c r="G99" s="59" t="s">
        <v>99</v>
      </c>
      <c r="H99" s="60"/>
      <c r="I99" s="87"/>
      <c r="J99" s="28">
        <f>(F99*H99)*K9</f>
        <v>0</v>
      </c>
    </row>
    <row r="100" spans="3:24" ht="12.75" customHeight="1">
      <c r="C100" s="57" t="s">
        <v>103</v>
      </c>
      <c r="D100" s="115" t="s">
        <v>104</v>
      </c>
      <c r="E100" s="115"/>
      <c r="F100" s="58">
        <f>1/12</f>
        <v>8.3333333333333329E-2</v>
      </c>
      <c r="G100" s="59" t="s">
        <v>99</v>
      </c>
      <c r="H100" s="60"/>
      <c r="I100" s="87"/>
      <c r="J100" s="28">
        <f>(F100*H100)*K9</f>
        <v>0</v>
      </c>
    </row>
    <row r="101" spans="3:24" ht="12.75" customHeight="1">
      <c r="C101" s="57"/>
      <c r="D101" s="113" t="s">
        <v>31</v>
      </c>
      <c r="E101" s="113"/>
      <c r="F101" s="113"/>
      <c r="G101" s="113"/>
      <c r="H101" s="113"/>
      <c r="I101" s="113"/>
      <c r="J101" s="29">
        <f>SUM(J97:J100)</f>
        <v>0</v>
      </c>
    </row>
    <row r="102" spans="3:24" ht="12.75" customHeight="1">
      <c r="C102" s="53" t="s">
        <v>29</v>
      </c>
      <c r="D102" s="114" t="s">
        <v>105</v>
      </c>
      <c r="E102" s="114"/>
      <c r="F102" s="56" t="s">
        <v>163</v>
      </c>
      <c r="G102" s="55" t="s">
        <v>94</v>
      </c>
      <c r="H102" s="4" t="s">
        <v>95</v>
      </c>
      <c r="I102" s="56" t="s">
        <v>96</v>
      </c>
      <c r="J102" s="18" t="s">
        <v>97</v>
      </c>
    </row>
    <row r="103" spans="3:24">
      <c r="C103" s="57" t="s">
        <v>58</v>
      </c>
      <c r="D103" s="138" t="s">
        <v>157</v>
      </c>
      <c r="E103" s="138"/>
      <c r="F103" s="87">
        <v>6</v>
      </c>
      <c r="G103" s="59" t="s">
        <v>106</v>
      </c>
      <c r="H103" s="60"/>
      <c r="I103" s="87"/>
      <c r="J103" s="62">
        <f>((H103*F103)/12)*K9</f>
        <v>0</v>
      </c>
    </row>
    <row r="104" spans="3:24" ht="12.75" customHeight="1">
      <c r="C104" s="57"/>
      <c r="D104" s="113" t="s">
        <v>31</v>
      </c>
      <c r="E104" s="113"/>
      <c r="F104" s="113"/>
      <c r="G104" s="113"/>
      <c r="H104" s="113"/>
      <c r="I104" s="113"/>
      <c r="J104" s="63">
        <f>SUM(J103:J103)</f>
        <v>0</v>
      </c>
    </row>
    <row r="105" spans="3:24" s="15" customFormat="1" ht="15" customHeight="1">
      <c r="C105" s="53" t="s">
        <v>38</v>
      </c>
      <c r="D105" s="116" t="s">
        <v>107</v>
      </c>
      <c r="E105" s="116"/>
      <c r="F105" s="56" t="s">
        <v>108</v>
      </c>
      <c r="G105" s="54" t="s">
        <v>109</v>
      </c>
      <c r="H105" s="4" t="s">
        <v>110</v>
      </c>
      <c r="I105" s="56" t="s">
        <v>111</v>
      </c>
      <c r="J105" s="18" t="s">
        <v>97</v>
      </c>
      <c r="K105" s="64"/>
      <c r="L105" s="17"/>
      <c r="M105" s="17"/>
      <c r="N105" s="17"/>
      <c r="O105" s="17"/>
      <c r="P105" s="17"/>
    </row>
    <row r="106" spans="3:24" ht="12.75" customHeight="1">
      <c r="C106" s="57" t="s">
        <v>112</v>
      </c>
      <c r="D106" s="115" t="s">
        <v>113</v>
      </c>
      <c r="E106" s="115"/>
      <c r="F106" s="59">
        <f>K3</f>
        <v>122</v>
      </c>
      <c r="G106" s="10">
        <v>20</v>
      </c>
      <c r="H106" s="139"/>
      <c r="I106" s="87"/>
      <c r="J106" s="28" t="e">
        <f>(H106*G106*F106)/I106</f>
        <v>#DIV/0!</v>
      </c>
      <c r="K106" s="65"/>
    </row>
    <row r="107" spans="3:24" ht="12.75" customHeight="1">
      <c r="C107" s="57"/>
      <c r="D107" s="113" t="s">
        <v>31</v>
      </c>
      <c r="E107" s="113"/>
      <c r="F107" s="113"/>
      <c r="G107" s="113"/>
      <c r="H107" s="113"/>
      <c r="I107" s="113"/>
      <c r="J107" s="63" t="e">
        <f>SUM(J106:J106)</f>
        <v>#DIV/0!</v>
      </c>
    </row>
    <row r="108" spans="3:24" ht="12.75" customHeight="1">
      <c r="C108" s="53" t="s">
        <v>40</v>
      </c>
      <c r="D108" s="119" t="s">
        <v>114</v>
      </c>
      <c r="E108" s="119"/>
      <c r="F108" s="56" t="s">
        <v>115</v>
      </c>
      <c r="G108" s="66" t="s">
        <v>116</v>
      </c>
      <c r="H108" s="4" t="s">
        <v>117</v>
      </c>
      <c r="I108" s="56" t="s">
        <v>96</v>
      </c>
      <c r="J108" s="18" t="s">
        <v>97</v>
      </c>
      <c r="Q108" s="2"/>
      <c r="R108" s="2"/>
      <c r="S108" s="2"/>
      <c r="T108" s="2"/>
      <c r="U108" s="2"/>
      <c r="V108" s="2"/>
      <c r="W108" s="2"/>
      <c r="X108" s="2"/>
    </row>
    <row r="109" spans="3:24" ht="12.75" customHeight="1">
      <c r="C109" s="57" t="s">
        <v>118</v>
      </c>
      <c r="D109" s="115" t="s">
        <v>119</v>
      </c>
      <c r="E109" s="115"/>
      <c r="F109" s="140"/>
      <c r="G109" s="67">
        <f>F109*10%</f>
        <v>0</v>
      </c>
      <c r="H109" s="85">
        <f>F109-G109</f>
        <v>0</v>
      </c>
      <c r="I109" s="59"/>
      <c r="J109" s="28">
        <f>(H109/120)*K9</f>
        <v>0</v>
      </c>
      <c r="Q109" s="2"/>
      <c r="R109" s="2"/>
      <c r="S109" s="2"/>
    </row>
    <row r="110" spans="3:24" ht="12.75" customHeight="1">
      <c r="C110" s="21"/>
      <c r="D110" s="113" t="s">
        <v>31</v>
      </c>
      <c r="E110" s="113"/>
      <c r="F110" s="113"/>
      <c r="G110" s="113"/>
      <c r="H110" s="113"/>
      <c r="I110" s="113"/>
      <c r="J110" s="29">
        <f>SUM(J109:J109)</f>
        <v>0</v>
      </c>
    </row>
    <row r="111" spans="3:24" ht="12.75" customHeight="1">
      <c r="C111" s="53" t="s">
        <v>42</v>
      </c>
      <c r="D111" s="119" t="s">
        <v>120</v>
      </c>
      <c r="E111" s="119"/>
      <c r="F111" s="56" t="s">
        <v>93</v>
      </c>
      <c r="G111" s="66" t="s">
        <v>94</v>
      </c>
      <c r="H111" s="4" t="s">
        <v>121</v>
      </c>
      <c r="I111" s="56" t="s">
        <v>96</v>
      </c>
      <c r="J111" s="18" t="s">
        <v>97</v>
      </c>
    </row>
    <row r="112" spans="3:24" ht="24.75" customHeight="1">
      <c r="C112" s="57" t="s">
        <v>122</v>
      </c>
      <c r="D112" s="115" t="s">
        <v>154</v>
      </c>
      <c r="E112" s="115"/>
      <c r="F112" s="61">
        <v>1</v>
      </c>
      <c r="G112" s="61" t="s">
        <v>123</v>
      </c>
      <c r="H112" s="141"/>
      <c r="I112" s="142"/>
      <c r="J112" s="28">
        <f>(F112*H112)*K9</f>
        <v>0</v>
      </c>
    </row>
    <row r="113" spans="3:14">
      <c r="C113" s="57" t="s">
        <v>155</v>
      </c>
      <c r="D113" s="120" t="s">
        <v>156</v>
      </c>
      <c r="E113" s="121"/>
      <c r="F113" s="61">
        <v>1</v>
      </c>
      <c r="G113" s="61" t="s">
        <v>123</v>
      </c>
      <c r="H113" s="141"/>
      <c r="I113" s="142"/>
      <c r="J113" s="28">
        <f>H113</f>
        <v>0</v>
      </c>
    </row>
    <row r="114" spans="3:14" ht="12.75" customHeight="1">
      <c r="C114" s="57"/>
      <c r="D114" s="113" t="s">
        <v>31</v>
      </c>
      <c r="E114" s="113"/>
      <c r="F114" s="113"/>
      <c r="G114" s="113"/>
      <c r="H114" s="113"/>
      <c r="I114" s="113"/>
      <c r="J114" s="29">
        <f>J112+J113</f>
        <v>0</v>
      </c>
    </row>
    <row r="115" spans="3:14" ht="12.75" customHeight="1">
      <c r="C115" s="97" t="s">
        <v>124</v>
      </c>
      <c r="D115" s="97"/>
      <c r="E115" s="97"/>
      <c r="F115" s="97"/>
      <c r="G115" s="97"/>
      <c r="H115" s="97"/>
      <c r="I115" s="97"/>
      <c r="J115" s="24" t="e">
        <f>J101+J104+J107+J110+J114</f>
        <v>#DIV/0!</v>
      </c>
      <c r="L115" s="25"/>
    </row>
    <row r="116" spans="3:14" ht="31.5" customHeight="1">
      <c r="C116" s="89"/>
      <c r="D116" s="89"/>
      <c r="E116" s="89"/>
      <c r="F116" s="89"/>
      <c r="G116" s="89"/>
      <c r="H116" s="89"/>
      <c r="I116" s="89"/>
      <c r="J116" s="89"/>
    </row>
    <row r="117" spans="3:14" ht="17.25" customHeight="1">
      <c r="C117" s="88" t="s">
        <v>125</v>
      </c>
      <c r="D117" s="88"/>
      <c r="E117" s="88"/>
      <c r="F117" s="88"/>
      <c r="G117" s="88"/>
      <c r="H117" s="88"/>
      <c r="I117" s="88"/>
      <c r="J117" s="88"/>
      <c r="K117" s="49"/>
      <c r="L117" s="49"/>
      <c r="M117" s="49"/>
      <c r="N117" s="49"/>
    </row>
    <row r="118" spans="3:14" ht="12.75" customHeight="1">
      <c r="C118" s="16" t="s">
        <v>16</v>
      </c>
      <c r="D118" s="122" t="s">
        <v>126</v>
      </c>
      <c r="E118" s="122"/>
      <c r="F118" s="122"/>
      <c r="G118" s="122"/>
      <c r="H118" s="122"/>
      <c r="I118" s="122"/>
      <c r="J118" s="12">
        <f>J93</f>
        <v>6802.6106187428404</v>
      </c>
      <c r="K118" s="49"/>
      <c r="L118" s="49"/>
      <c r="M118" s="49"/>
      <c r="N118" s="49"/>
    </row>
    <row r="119" spans="3:14" ht="12.75" customHeight="1">
      <c r="C119" s="16" t="s">
        <v>29</v>
      </c>
      <c r="D119" s="122" t="s">
        <v>127</v>
      </c>
      <c r="E119" s="122"/>
      <c r="F119" s="122"/>
      <c r="G119" s="122"/>
      <c r="H119" s="122"/>
      <c r="I119" s="122"/>
      <c r="J119" s="12" t="e">
        <f>J115</f>
        <v>#DIV/0!</v>
      </c>
      <c r="K119" s="49"/>
      <c r="L119" s="49"/>
      <c r="M119" s="49"/>
      <c r="N119" s="49"/>
    </row>
    <row r="120" spans="3:14" ht="12.75" customHeight="1">
      <c r="C120" s="50"/>
      <c r="D120" s="101" t="s">
        <v>128</v>
      </c>
      <c r="E120" s="101"/>
      <c r="F120" s="101"/>
      <c r="G120" s="101"/>
      <c r="H120" s="101"/>
      <c r="I120" s="101"/>
      <c r="J120" s="51" t="e">
        <f>SUM(J118:J119)</f>
        <v>#DIV/0!</v>
      </c>
      <c r="K120" s="49"/>
      <c r="L120" s="49"/>
      <c r="M120" s="49"/>
      <c r="N120" s="49"/>
    </row>
    <row r="121" spans="3:14" ht="32.25" customHeight="1">
      <c r="C121" s="89"/>
      <c r="D121" s="89"/>
      <c r="E121" s="89"/>
      <c r="F121" s="89"/>
      <c r="G121" s="89"/>
      <c r="H121" s="89"/>
      <c r="I121" s="89"/>
      <c r="J121" s="89"/>
    </row>
    <row r="122" spans="3:14" s="2" customFormat="1" ht="17.25" customHeight="1">
      <c r="C122" s="88" t="s">
        <v>129</v>
      </c>
      <c r="D122" s="88"/>
      <c r="E122" s="88"/>
      <c r="F122" s="88"/>
      <c r="G122" s="88"/>
      <c r="H122" s="88"/>
      <c r="I122" s="88"/>
      <c r="J122" s="88"/>
    </row>
    <row r="123" spans="3:14" s="2" customFormat="1" ht="12.75" customHeight="1">
      <c r="C123" s="16"/>
      <c r="D123" s="101" t="s">
        <v>130</v>
      </c>
      <c r="E123" s="101"/>
      <c r="F123" s="101"/>
      <c r="G123" s="23" t="s">
        <v>27</v>
      </c>
      <c r="H123" s="123" t="s">
        <v>131</v>
      </c>
      <c r="I123" s="123"/>
      <c r="J123" s="26" t="s">
        <v>132</v>
      </c>
    </row>
    <row r="124" spans="3:14" s="2" customFormat="1" ht="12.75" customHeight="1">
      <c r="C124" s="16" t="s">
        <v>16</v>
      </c>
      <c r="D124" s="124" t="s">
        <v>133</v>
      </c>
      <c r="E124" s="124"/>
      <c r="F124" s="124"/>
      <c r="G124" s="68">
        <v>0.05</v>
      </c>
      <c r="H124" s="125" t="e">
        <f>J120</f>
        <v>#DIV/0!</v>
      </c>
      <c r="I124" s="125"/>
      <c r="J124" s="19" t="e">
        <f>G124*H124</f>
        <v>#DIV/0!</v>
      </c>
    </row>
    <row r="125" spans="3:14" s="2" customFormat="1" ht="12.75" customHeight="1">
      <c r="C125" s="16" t="s">
        <v>29</v>
      </c>
      <c r="D125" s="96" t="s">
        <v>134</v>
      </c>
      <c r="E125" s="96"/>
      <c r="F125" s="96"/>
      <c r="G125" s="68">
        <v>0.1</v>
      </c>
      <c r="H125" s="125" t="e">
        <f>H124+J124</f>
        <v>#DIV/0!</v>
      </c>
      <c r="I125" s="125"/>
      <c r="J125" s="19" t="e">
        <f>G125*H125</f>
        <v>#DIV/0!</v>
      </c>
      <c r="K125" s="36"/>
    </row>
    <row r="126" spans="3:14" s="2" customFormat="1" ht="37.5" customHeight="1">
      <c r="C126" s="126" t="s">
        <v>38</v>
      </c>
      <c r="D126" s="96" t="s">
        <v>135</v>
      </c>
      <c r="E126" s="50" t="s">
        <v>136</v>
      </c>
      <c r="F126" s="69">
        <v>1.6500000000000001E-2</v>
      </c>
      <c r="G126" s="127">
        <f>F126+F127</f>
        <v>9.2499999999999999E-2</v>
      </c>
      <c r="H126" s="70" t="s">
        <v>137</v>
      </c>
      <c r="I126" s="71" t="e">
        <f>H125+J125</f>
        <v>#DIV/0!</v>
      </c>
      <c r="J126" s="128" t="e">
        <f>(I126/I127)*G126</f>
        <v>#DIV/0!</v>
      </c>
      <c r="K126" s="72"/>
    </row>
    <row r="127" spans="3:14" s="2" customFormat="1" ht="12.75" customHeight="1">
      <c r="C127" s="126"/>
      <c r="D127" s="96"/>
      <c r="E127" s="50" t="s">
        <v>138</v>
      </c>
      <c r="F127" s="69">
        <v>7.5999999999999998E-2</v>
      </c>
      <c r="G127" s="127"/>
      <c r="H127" s="73" t="s">
        <v>139</v>
      </c>
      <c r="I127" s="74">
        <f>1-(9.25/100)</f>
        <v>0.90749999999999997</v>
      </c>
      <c r="J127" s="128"/>
      <c r="K127" s="75"/>
    </row>
    <row r="128" spans="3:14" s="76" customFormat="1" ht="51" customHeight="1">
      <c r="C128" s="129" t="s">
        <v>40</v>
      </c>
      <c r="D128" s="130" t="s">
        <v>140</v>
      </c>
      <c r="E128" s="124" t="s">
        <v>141</v>
      </c>
      <c r="F128" s="131">
        <v>2.5000000000000001E-2</v>
      </c>
      <c r="G128" s="132">
        <f>F128</f>
        <v>2.5000000000000001E-2</v>
      </c>
      <c r="H128" s="70" t="s">
        <v>142</v>
      </c>
      <c r="I128" s="71" t="e">
        <f>I126+J126</f>
        <v>#DIV/0!</v>
      </c>
      <c r="J128" s="128" t="e">
        <f>I128/I129*G128</f>
        <v>#DIV/0!</v>
      </c>
      <c r="K128" s="77"/>
    </row>
    <row r="129" spans="3:11" s="76" customFormat="1" ht="12.75" customHeight="1">
      <c r="C129" s="129"/>
      <c r="D129" s="130"/>
      <c r="E129" s="124"/>
      <c r="F129" s="131"/>
      <c r="G129" s="132"/>
      <c r="H129" s="73" t="s">
        <v>143</v>
      </c>
      <c r="I129" s="78">
        <f>1-(2.5/100)</f>
        <v>0.97499999999999998</v>
      </c>
      <c r="J129" s="128"/>
      <c r="K129" s="77"/>
    </row>
    <row r="130" spans="3:11" s="76" customFormat="1" ht="12.75" customHeight="1">
      <c r="C130" s="129" t="s">
        <v>42</v>
      </c>
      <c r="D130" s="95" t="s">
        <v>135</v>
      </c>
      <c r="E130" s="133" t="s">
        <v>144</v>
      </c>
      <c r="F130" s="131">
        <v>3.3000000000000002E-2</v>
      </c>
      <c r="G130" s="132">
        <v>3.3000000000000002E-2</v>
      </c>
      <c r="H130" s="70" t="s">
        <v>142</v>
      </c>
      <c r="I130" s="71" t="e">
        <f>I128+J128</f>
        <v>#DIV/0!</v>
      </c>
      <c r="J130" s="128" t="e">
        <f>I130/I131*G130</f>
        <v>#DIV/0!</v>
      </c>
      <c r="K130" s="77"/>
    </row>
    <row r="131" spans="3:11" s="76" customFormat="1" ht="12.75" customHeight="1">
      <c r="C131" s="129"/>
      <c r="D131" s="95"/>
      <c r="E131" s="133"/>
      <c r="F131" s="131"/>
      <c r="G131" s="132"/>
      <c r="H131" s="73" t="s">
        <v>145</v>
      </c>
      <c r="I131" s="78">
        <f>1-(3.3/100)</f>
        <v>0.96699999999999997</v>
      </c>
      <c r="J131" s="128"/>
      <c r="K131" s="77"/>
    </row>
    <row r="132" spans="3:11" s="2" customFormat="1" ht="12.75" customHeight="1">
      <c r="C132" s="134" t="s">
        <v>146</v>
      </c>
      <c r="D132" s="134"/>
      <c r="E132" s="134"/>
      <c r="F132" s="134"/>
      <c r="G132" s="79">
        <f>SUM(G124:G127)</f>
        <v>0.24250000000000002</v>
      </c>
      <c r="H132" s="135"/>
      <c r="I132" s="135"/>
      <c r="J132" s="24" t="e">
        <f>SUM(J124:J131)</f>
        <v>#DIV/0!</v>
      </c>
    </row>
    <row r="133" spans="3:11" s="2" customFormat="1" ht="12.75" customHeight="1">
      <c r="C133" s="137" t="s">
        <v>160</v>
      </c>
      <c r="D133" s="137"/>
      <c r="E133" s="137"/>
      <c r="F133" s="137"/>
      <c r="G133" s="137"/>
      <c r="H133" s="137"/>
      <c r="I133" s="137"/>
      <c r="J133" s="137"/>
    </row>
    <row r="134" spans="3:11" s="2" customFormat="1" ht="12.75" customHeight="1">
      <c r="C134" s="137" t="s">
        <v>161</v>
      </c>
      <c r="D134" s="137"/>
      <c r="E134" s="137"/>
      <c r="F134" s="137"/>
      <c r="G134" s="137"/>
      <c r="H134" s="137"/>
      <c r="I134" s="137"/>
      <c r="J134" s="137"/>
    </row>
    <row r="135" spans="3:11" s="2" customFormat="1" ht="33" customHeight="1">
      <c r="C135" s="136"/>
      <c r="D135" s="136"/>
      <c r="E135" s="136"/>
      <c r="F135" s="136"/>
      <c r="G135" s="136"/>
      <c r="H135" s="136"/>
      <c r="I135" s="136"/>
      <c r="J135" s="136"/>
    </row>
    <row r="136" spans="3:11" s="2" customFormat="1" ht="17.25" customHeight="1">
      <c r="C136" s="88" t="s">
        <v>147</v>
      </c>
      <c r="D136" s="88"/>
      <c r="E136" s="88"/>
      <c r="F136" s="88"/>
      <c r="G136" s="88"/>
      <c r="H136" s="88"/>
      <c r="I136" s="88"/>
      <c r="J136" s="88"/>
    </row>
    <row r="137" spans="3:11" s="2" customFormat="1" ht="12.75" hidden="1">
      <c r="C137" s="1"/>
      <c r="D137" s="1"/>
      <c r="E137" s="1"/>
      <c r="F137" s="1"/>
      <c r="G137" s="1"/>
      <c r="H137" s="1"/>
      <c r="I137" s="1"/>
      <c r="J137" s="1"/>
    </row>
    <row r="138" spans="3:11" s="2" customFormat="1" ht="12.75">
      <c r="C138" s="10" t="s">
        <v>16</v>
      </c>
      <c r="D138" s="122" t="s">
        <v>126</v>
      </c>
      <c r="E138" s="122"/>
      <c r="F138" s="122"/>
      <c r="G138" s="122"/>
      <c r="H138" s="122"/>
      <c r="I138" s="122"/>
      <c r="J138" s="80">
        <f>J93</f>
        <v>6802.6106187428404</v>
      </c>
    </row>
    <row r="139" spans="3:11" s="2" customFormat="1" ht="12.75">
      <c r="C139" s="10" t="s">
        <v>29</v>
      </c>
      <c r="D139" s="122" t="s">
        <v>127</v>
      </c>
      <c r="E139" s="122"/>
      <c r="F139" s="122"/>
      <c r="G139" s="122"/>
      <c r="H139" s="122"/>
      <c r="I139" s="122"/>
      <c r="J139" s="80" t="e">
        <f>J115</f>
        <v>#DIV/0!</v>
      </c>
    </row>
    <row r="140" spans="3:11" s="2" customFormat="1" ht="12.75">
      <c r="C140" s="10" t="s">
        <v>38</v>
      </c>
      <c r="D140" s="122" t="s">
        <v>148</v>
      </c>
      <c r="E140" s="122"/>
      <c r="F140" s="122"/>
      <c r="G140" s="122"/>
      <c r="H140" s="122"/>
      <c r="I140" s="122"/>
      <c r="J140" s="81" t="e">
        <f>J132</f>
        <v>#DIV/0!</v>
      </c>
    </row>
    <row r="141" spans="3:11" s="2" customFormat="1" ht="12.75">
      <c r="C141" s="37"/>
      <c r="D141" s="123" t="s">
        <v>149</v>
      </c>
      <c r="E141" s="123"/>
      <c r="F141" s="123"/>
      <c r="G141" s="123"/>
      <c r="H141" s="123"/>
      <c r="I141" s="123"/>
      <c r="J141" s="82" t="e">
        <f>SUM(J138:J140)</f>
        <v>#DIV/0!</v>
      </c>
      <c r="K141" s="83" t="e">
        <f>J141*10</f>
        <v>#DIV/0!</v>
      </c>
    </row>
    <row r="142" spans="3:11" s="2" customFormat="1" ht="12.75">
      <c r="C142" s="37"/>
      <c r="D142" s="122" t="s">
        <v>150</v>
      </c>
      <c r="E142" s="122"/>
      <c r="F142" s="122"/>
      <c r="G142" s="122"/>
      <c r="H142" s="122"/>
      <c r="I142" s="122"/>
      <c r="J142" s="82" t="e">
        <f>J141/(F106*G106)</f>
        <v>#DIV/0!</v>
      </c>
    </row>
    <row r="143" spans="3:11" s="2" customFormat="1" ht="12.75">
      <c r="C143" s="117"/>
      <c r="D143" s="117"/>
      <c r="E143" s="117"/>
      <c r="F143" s="117"/>
      <c r="G143" s="117"/>
      <c r="H143" s="117"/>
      <c r="I143" s="117"/>
      <c r="J143" s="117"/>
    </row>
    <row r="145" spans="1:10" s="2" customFormat="1" ht="35.25" customHeight="1">
      <c r="A145" s="1"/>
      <c r="B145" s="1"/>
      <c r="C145" s="1"/>
      <c r="D145" s="1"/>
      <c r="E145" s="1"/>
      <c r="F145" s="1"/>
      <c r="G145" s="1"/>
      <c r="H145" s="1"/>
      <c r="I145" s="1"/>
      <c r="J145" s="84" t="s">
        <v>151</v>
      </c>
    </row>
  </sheetData>
  <mergeCells count="157">
    <mergeCell ref="C136:J136"/>
    <mergeCell ref="D138:I138"/>
    <mergeCell ref="D139:I139"/>
    <mergeCell ref="D140:I140"/>
    <mergeCell ref="D141:I141"/>
    <mergeCell ref="D142:I142"/>
    <mergeCell ref="C143:J143"/>
    <mergeCell ref="C130:C131"/>
    <mergeCell ref="D130:D131"/>
    <mergeCell ref="E130:E131"/>
    <mergeCell ref="F130:F131"/>
    <mergeCell ref="G130:G131"/>
    <mergeCell ref="J130:J131"/>
    <mergeCell ref="C132:F132"/>
    <mergeCell ref="H132:I132"/>
    <mergeCell ref="C135:J135"/>
    <mergeCell ref="C133:J133"/>
    <mergeCell ref="C134:J134"/>
    <mergeCell ref="D125:F125"/>
    <mergeCell ref="H125:I125"/>
    <mergeCell ref="C126:C127"/>
    <mergeCell ref="D126:D127"/>
    <mergeCell ref="G126:G127"/>
    <mergeCell ref="J126:J127"/>
    <mergeCell ref="C128:C129"/>
    <mergeCell ref="D128:D129"/>
    <mergeCell ref="E128:E129"/>
    <mergeCell ref="F128:F129"/>
    <mergeCell ref="G128:G129"/>
    <mergeCell ref="J128:J129"/>
    <mergeCell ref="D118:I118"/>
    <mergeCell ref="D119:I119"/>
    <mergeCell ref="D120:I120"/>
    <mergeCell ref="C121:J121"/>
    <mergeCell ref="C122:J122"/>
    <mergeCell ref="D123:F123"/>
    <mergeCell ref="H123:I123"/>
    <mergeCell ref="D124:F124"/>
    <mergeCell ref="H124:I124"/>
    <mergeCell ref="D108:E108"/>
    <mergeCell ref="D109:E109"/>
    <mergeCell ref="D110:I110"/>
    <mergeCell ref="D111:E111"/>
    <mergeCell ref="D112:E112"/>
    <mergeCell ref="D114:I114"/>
    <mergeCell ref="C115:I115"/>
    <mergeCell ref="C116:J116"/>
    <mergeCell ref="C117:J117"/>
    <mergeCell ref="D113:E113"/>
    <mergeCell ref="D101:I101"/>
    <mergeCell ref="D102:E102"/>
    <mergeCell ref="D103:E103"/>
    <mergeCell ref="D104:I104"/>
    <mergeCell ref="D105:E105"/>
    <mergeCell ref="D106:E106"/>
    <mergeCell ref="D107:I107"/>
    <mergeCell ref="D92:I92"/>
    <mergeCell ref="D93:I93"/>
    <mergeCell ref="C94:J94"/>
    <mergeCell ref="C95:J95"/>
    <mergeCell ref="D96:E96"/>
    <mergeCell ref="D97:E97"/>
    <mergeCell ref="D98:E98"/>
    <mergeCell ref="D99:E99"/>
    <mergeCell ref="D100:E100"/>
    <mergeCell ref="D83:H83"/>
    <mergeCell ref="D84:H84"/>
    <mergeCell ref="C85:J85"/>
    <mergeCell ref="C86:J86"/>
    <mergeCell ref="C87:J87"/>
    <mergeCell ref="D88:I88"/>
    <mergeCell ref="D89:I89"/>
    <mergeCell ref="D90:I90"/>
    <mergeCell ref="D91:I91"/>
    <mergeCell ref="D74:H74"/>
    <mergeCell ref="D75:H75"/>
    <mergeCell ref="D76:H76"/>
    <mergeCell ref="D77:H77"/>
    <mergeCell ref="D78:H78"/>
    <mergeCell ref="D79:H79"/>
    <mergeCell ref="D80:H80"/>
    <mergeCell ref="D81:H81"/>
    <mergeCell ref="D82:H82"/>
    <mergeCell ref="D65:H65"/>
    <mergeCell ref="D66:H66"/>
    <mergeCell ref="D67:H67"/>
    <mergeCell ref="D68:H68"/>
    <mergeCell ref="C69:I69"/>
    <mergeCell ref="C70:J70"/>
    <mergeCell ref="C71:J71"/>
    <mergeCell ref="C72:J72"/>
    <mergeCell ref="D73:H73"/>
    <mergeCell ref="D56:I56"/>
    <mergeCell ref="D57:I57"/>
    <mergeCell ref="D58:I58"/>
    <mergeCell ref="C59:I59"/>
    <mergeCell ref="C60:J60"/>
    <mergeCell ref="C61:J61"/>
    <mergeCell ref="D62:H62"/>
    <mergeCell ref="D63:H63"/>
    <mergeCell ref="D64:H64"/>
    <mergeCell ref="D48:H48"/>
    <mergeCell ref="D49:H49"/>
    <mergeCell ref="I49:I51"/>
    <mergeCell ref="D50:H50"/>
    <mergeCell ref="D51:H51"/>
    <mergeCell ref="C52:I52"/>
    <mergeCell ref="C53:J53"/>
    <mergeCell ref="C54:J54"/>
    <mergeCell ref="D55:I55"/>
    <mergeCell ref="D38:H38"/>
    <mergeCell ref="D39:H39"/>
    <mergeCell ref="C40:H40"/>
    <mergeCell ref="C41:J41"/>
    <mergeCell ref="C42:J42"/>
    <mergeCell ref="D43:H43"/>
    <mergeCell ref="D44:G44"/>
    <mergeCell ref="D45:G45"/>
    <mergeCell ref="I45:I47"/>
    <mergeCell ref="D46:G46"/>
    <mergeCell ref="D47:G47"/>
    <mergeCell ref="C29:J29"/>
    <mergeCell ref="C30:J30"/>
    <mergeCell ref="D31:H31"/>
    <mergeCell ref="D32:H32"/>
    <mergeCell ref="D33:H33"/>
    <mergeCell ref="D34:H34"/>
    <mergeCell ref="D35:H35"/>
    <mergeCell ref="D36:H36"/>
    <mergeCell ref="D37:H37"/>
    <mergeCell ref="C20:J20"/>
    <mergeCell ref="C21:J21"/>
    <mergeCell ref="C22:J22"/>
    <mergeCell ref="C23:J23"/>
    <mergeCell ref="D24:H24"/>
    <mergeCell ref="D25:H25"/>
    <mergeCell ref="D26:H26"/>
    <mergeCell ref="C27:I27"/>
    <mergeCell ref="C28:J28"/>
    <mergeCell ref="C11:E11"/>
    <mergeCell ref="C12:J12"/>
    <mergeCell ref="C13:J13"/>
    <mergeCell ref="D14:I14"/>
    <mergeCell ref="D15:G15"/>
    <mergeCell ref="D16:G16"/>
    <mergeCell ref="D17:G17"/>
    <mergeCell ref="D18:G18"/>
    <mergeCell ref="C19:I19"/>
    <mergeCell ref="C2:J2"/>
    <mergeCell ref="C3:J3"/>
    <mergeCell ref="C4:J4"/>
    <mergeCell ref="C5:J5"/>
    <mergeCell ref="C6:J6"/>
    <mergeCell ref="C7:J7"/>
    <mergeCell ref="C8:E8"/>
    <mergeCell ref="C9:E9"/>
    <mergeCell ref="C10:E10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8" orientation="portrait" r:id="rId1"/>
  <rowBreaks count="2" manualBreakCount="2">
    <brk id="41" max="16383" man="1"/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95 km micro</vt:lpstr>
      <vt:lpstr>'95 km micro'!Area_de_impressao</vt:lpstr>
      <vt:lpstr>'95 km micro'!Titulos_de_impressao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Jean Alexandre Pezzini</cp:lastModifiedBy>
  <cp:revision>11</cp:revision>
  <cp:lastPrinted>2023-02-01T18:41:28Z</cp:lastPrinted>
  <dcterms:created xsi:type="dcterms:W3CDTF">2019-11-18T10:59:10Z</dcterms:created>
  <dcterms:modified xsi:type="dcterms:W3CDTF">2023-02-14T18:49:18Z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