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ardo.pinheiro\Desktop\PLANILHAS\"/>
    </mc:Choice>
  </mc:AlternateContent>
  <xr:revisionPtr revIDLastSave="0" documentId="8_{56029DA7-379C-498F-9DAF-2DA4B89018A8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0-1" sheetId="1" r:id="rId1"/>
  </sheets>
  <definedNames>
    <definedName name="_xlnm.Print_Area" localSheetId="0">'0-1'!$B$1:$K$182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85" i="1" l="1"/>
  <c r="I161" i="1"/>
  <c r="H161" i="1"/>
  <c r="F160" i="1"/>
  <c r="F162" i="1" s="1"/>
  <c r="I159" i="1"/>
  <c r="H159" i="1"/>
  <c r="F158" i="1"/>
  <c r="K144" i="1"/>
  <c r="K145" i="1" s="1"/>
  <c r="K140" i="1"/>
  <c r="K139" i="1"/>
  <c r="E134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D122" i="1"/>
  <c r="K122" i="1" s="1"/>
  <c r="F121" i="1"/>
  <c r="E121" i="1"/>
  <c r="F120" i="1"/>
  <c r="E120" i="1"/>
  <c r="D120" i="1"/>
  <c r="K120" i="1" s="1"/>
  <c r="K114" i="1"/>
  <c r="H114" i="1"/>
  <c r="F114" i="1"/>
  <c r="D114" i="1"/>
  <c r="K113" i="1"/>
  <c r="H113" i="1"/>
  <c r="F113" i="1"/>
  <c r="D113" i="1"/>
  <c r="K112" i="1"/>
  <c r="H112" i="1"/>
  <c r="F112" i="1"/>
  <c r="D112" i="1"/>
  <c r="K111" i="1"/>
  <c r="H111" i="1"/>
  <c r="F111" i="1"/>
  <c r="D111" i="1"/>
  <c r="K110" i="1"/>
  <c r="H110" i="1"/>
  <c r="F110" i="1"/>
  <c r="D110" i="1"/>
  <c r="K109" i="1"/>
  <c r="H109" i="1"/>
  <c r="F109" i="1"/>
  <c r="D109" i="1"/>
  <c r="K108" i="1"/>
  <c r="H108" i="1"/>
  <c r="F108" i="1"/>
  <c r="D108" i="1"/>
  <c r="K107" i="1"/>
  <c r="H107" i="1"/>
  <c r="F107" i="1"/>
  <c r="D107" i="1"/>
  <c r="K106" i="1"/>
  <c r="H106" i="1"/>
  <c r="F106" i="1"/>
  <c r="D106" i="1"/>
  <c r="K105" i="1"/>
  <c r="H105" i="1"/>
  <c r="F105" i="1"/>
  <c r="D105" i="1"/>
  <c r="K104" i="1"/>
  <c r="K115" i="1" s="1"/>
  <c r="H104" i="1"/>
  <c r="F104" i="1"/>
  <c r="D104" i="1"/>
  <c r="E99" i="1"/>
  <c r="K98" i="1"/>
  <c r="E98" i="1"/>
  <c r="K97" i="1"/>
  <c r="E97" i="1"/>
  <c r="K96" i="1"/>
  <c r="J79" i="1"/>
  <c r="J81" i="1" s="1"/>
  <c r="J83" i="1" s="1"/>
  <c r="J49" i="1"/>
  <c r="C49" i="1"/>
  <c r="H46" i="1"/>
  <c r="H45" i="1"/>
  <c r="C45" i="1"/>
  <c r="J40" i="1"/>
  <c r="J25" i="1"/>
  <c r="J17" i="1"/>
  <c r="K17" i="1" s="1"/>
  <c r="C17" i="1"/>
  <c r="C46" i="1" s="1"/>
  <c r="C50" i="1" s="1"/>
  <c r="J16" i="1"/>
  <c r="K45" i="1" s="1"/>
  <c r="C16" i="1"/>
  <c r="K10" i="1"/>
  <c r="F10" i="1"/>
  <c r="K9" i="1"/>
  <c r="K46" i="1" l="1"/>
  <c r="K51" i="1" s="1"/>
  <c r="K57" i="1" s="1"/>
  <c r="K99" i="1"/>
  <c r="D130" i="1"/>
  <c r="K130" i="1" s="1"/>
  <c r="D127" i="1"/>
  <c r="K127" i="1" s="1"/>
  <c r="D124" i="1"/>
  <c r="K124" i="1" s="1"/>
  <c r="D121" i="1"/>
  <c r="K121" i="1" s="1"/>
  <c r="D126" i="1"/>
  <c r="K126" i="1" s="1"/>
  <c r="K138" i="1"/>
  <c r="K141" i="1" s="1"/>
  <c r="K16" i="1"/>
  <c r="K19" i="1" s="1"/>
  <c r="D123" i="1"/>
  <c r="K123" i="1" s="1"/>
  <c r="K131" i="1" s="1"/>
  <c r="D128" i="1"/>
  <c r="K128" i="1" s="1"/>
  <c r="D125" i="1"/>
  <c r="K125" i="1" s="1"/>
  <c r="K134" i="1"/>
  <c r="K135" i="1" s="1"/>
  <c r="K100" i="1"/>
  <c r="D129" i="1"/>
  <c r="K129" i="1" s="1"/>
  <c r="K151" i="1" l="1"/>
  <c r="K152" i="1" s="1"/>
  <c r="K146" i="1"/>
  <c r="K170" i="1" s="1"/>
  <c r="K77" i="1"/>
  <c r="K76" i="1"/>
  <c r="K82" i="1"/>
  <c r="K65" i="1"/>
  <c r="K67" i="1" s="1"/>
  <c r="K75" i="1"/>
  <c r="K80" i="1"/>
  <c r="K74" i="1"/>
  <c r="K26" i="1"/>
  <c r="K73" i="1"/>
  <c r="K66" i="1"/>
  <c r="K63" i="1"/>
  <c r="K88" i="1"/>
  <c r="K62" i="1"/>
  <c r="K25" i="1"/>
  <c r="K78" i="1"/>
  <c r="J150" i="1"/>
  <c r="K27" i="1" l="1"/>
  <c r="K34" i="1"/>
  <c r="K38" i="1"/>
  <c r="K35" i="1"/>
  <c r="I156" i="1"/>
  <c r="K33" i="1"/>
  <c r="K64" i="1"/>
  <c r="K68" i="1" s="1"/>
  <c r="K90" i="1" s="1"/>
  <c r="K79" i="1"/>
  <c r="K81" i="1" s="1"/>
  <c r="K83" i="1" s="1"/>
  <c r="K91" i="1" s="1"/>
  <c r="K55" i="1" l="1"/>
  <c r="K39" i="1"/>
  <c r="K37" i="1"/>
  <c r="K32" i="1"/>
  <c r="K36" i="1"/>
  <c r="K40" i="1" s="1"/>
  <c r="K56" i="1" s="1"/>
  <c r="K58" i="1" s="1"/>
  <c r="K89" i="1" s="1"/>
  <c r="K92" i="1" s="1"/>
  <c r="J149" i="1" s="1"/>
  <c r="K156" i="1"/>
  <c r="K169" i="1" l="1"/>
  <c r="J152" i="1"/>
  <c r="I157" i="1"/>
  <c r="H156" i="1" l="1"/>
  <c r="K157" i="1"/>
  <c r="I158" i="1"/>
  <c r="K158" i="1" l="1"/>
  <c r="I160" i="1" s="1"/>
  <c r="K160" i="1" s="1"/>
  <c r="K162" i="1" s="1"/>
  <c r="J156" i="1"/>
  <c r="H157" i="1" s="1"/>
  <c r="J157" i="1" l="1"/>
  <c r="H158" i="1"/>
  <c r="E194" i="1"/>
  <c r="K174" i="1"/>
  <c r="K176" i="1"/>
  <c r="E191" i="1"/>
  <c r="E195" i="1"/>
  <c r="E193" i="1" l="1"/>
  <c r="J158" i="1"/>
  <c r="H160" i="1" s="1"/>
  <c r="J160" i="1" s="1"/>
  <c r="E192" i="1"/>
  <c r="E187" i="1"/>
  <c r="E188" i="1" l="1"/>
  <c r="E186" i="1"/>
  <c r="E190" i="1"/>
  <c r="J162" i="1"/>
  <c r="D190" i="1" l="1"/>
  <c r="K171" i="1"/>
  <c r="K172" i="1" s="1"/>
  <c r="K173" i="1" s="1"/>
  <c r="K175" i="1"/>
  <c r="D185" i="1" s="1"/>
  <c r="C185" i="1" s="1"/>
  <c r="D187" i="1" l="1"/>
  <c r="E189" i="1"/>
  <c r="D193" i="1"/>
  <c r="D189" i="1"/>
  <c r="A185" i="1"/>
  <c r="F185" i="1"/>
  <c r="C190" i="1"/>
  <c r="D194" i="1"/>
  <c r="C193" i="1" l="1"/>
  <c r="D191" i="1"/>
  <c r="D188" i="1"/>
  <c r="A190" i="1"/>
  <c r="F190" i="1"/>
  <c r="C194" i="1"/>
  <c r="C189" i="1"/>
  <c r="C187" i="1"/>
  <c r="D186" i="1" l="1"/>
  <c r="A193" i="1"/>
  <c r="F193" i="1"/>
  <c r="D192" i="1"/>
  <c r="F194" i="1"/>
  <c r="A194" i="1"/>
  <c r="F187" i="1"/>
  <c r="A187" i="1"/>
  <c r="C191" i="1"/>
  <c r="A189" i="1"/>
  <c r="F189" i="1"/>
  <c r="C188" i="1"/>
  <c r="D195" i="1" l="1"/>
  <c r="C192" i="1"/>
  <c r="F188" i="1"/>
  <c r="A188" i="1"/>
  <c r="F191" i="1"/>
  <c r="A191" i="1"/>
  <c r="C186" i="1"/>
  <c r="F186" i="1" l="1"/>
  <c r="A186" i="1"/>
  <c r="F192" i="1"/>
  <c r="A192" i="1"/>
  <c r="C195" i="1"/>
  <c r="A195" i="1" l="1"/>
  <c r="F195" i="1"/>
</calcChain>
</file>

<file path=xl/sharedStrings.xml><?xml version="1.0" encoding="utf-8"?>
<sst xmlns="http://schemas.openxmlformats.org/spreadsheetml/2006/main" count="333" uniqueCount="212">
  <si>
    <t>CÁLCULO DO TRANSPORTE ESCOLAR - ROTEIRO RURAL</t>
  </si>
  <si>
    <t>1 - MÃO DE OBRA - MENSAL - Custo Fixo</t>
  </si>
  <si>
    <t>Informações iniciais</t>
  </si>
  <si>
    <t>Cargo</t>
  </si>
  <si>
    <t>Sindicato</t>
  </si>
  <si>
    <t>Convenção Coletiva</t>
  </si>
  <si>
    <t>Data base</t>
  </si>
  <si>
    <t>Salário 220 h/mês</t>
  </si>
  <si>
    <t>Motorista(CBO xxx)</t>
  </si>
  <si>
    <t>SITRACOVER</t>
  </si>
  <si>
    <t>RS002118/2024</t>
  </si>
  <si>
    <t>01 de fevereiro 2024</t>
  </si>
  <si>
    <t>proporção do tempo</t>
  </si>
  <si>
    <t>Monitor (CBO XXX)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</si>
  <si>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</si>
  <si>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</si>
  <si>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</si>
  <si>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</si>
  <si>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</si>
  <si>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</si>
  <si>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</si>
  <si>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</si>
  <si>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</si>
  <si>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</si>
  <si>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</si>
  <si>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</si>
  <si>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</si>
  <si>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</si>
  <si>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</si>
  <si>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</si>
  <si>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</si>
  <si>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</si>
  <si>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</si>
  <si>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</si>
  <si>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</si>
  <si>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</si>
  <si>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</si>
  <si>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</si>
  <si>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</si>
  <si>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</si>
  <si>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</si>
  <si>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</si>
  <si>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</si>
  <si>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</si>
  <si>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</si>
  <si>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</si>
  <si>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</si>
  <si>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</si>
  <si>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</si>
  <si>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</si>
  <si>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</si>
  <si>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</si>
  <si>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</si>
  <si>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</si>
  <si>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</si>
  <si>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</si>
  <si>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</si>
  <si>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charset val="1"/>
      </rPr>
      <t xml:space="preserve">Obs.: valor atual da passagem conforme </t>
    </r>
    <r>
      <rPr>
        <b/>
        <sz val="10"/>
        <color rgb="FF000000"/>
        <rFont val="Arial"/>
        <charset val="1"/>
      </rPr>
      <t>Decreto Municipal nº 100/2023.</t>
    </r>
    <r>
      <rPr>
        <sz val="10"/>
        <color rgb="FF000000"/>
        <rFont val="Arial"/>
        <charset val="1"/>
      </rPr>
      <t xml:space="preserve"> </t>
    </r>
  </si>
  <si>
    <t>Auxílio-Refeição/Alimentação</t>
  </si>
  <si>
    <t>Valor da Convenção</t>
  </si>
  <si>
    <t>B.1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</si>
  <si>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</si>
  <si>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</si>
  <si>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</si>
  <si>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</si>
  <si>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</si>
  <si>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</si>
  <si>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r>
      <rPr>
        <sz val="10"/>
        <color rgb="FF000000"/>
        <rFont val="Arial"/>
        <charset val="1"/>
      </rPr>
      <t xml:space="preserve">Aviso Prévio Indenizado. </t>
    </r>
    <r>
      <rPr>
        <sz val="9"/>
        <color rgb="FF000000"/>
        <rFont val="Arial"/>
        <charset val="1"/>
      </rPr>
      <t>Cálculo: (1/12)x0,05x100=0,42% incidente sobre o total da Remuneração</t>
    </r>
  </si>
  <si>
    <r>
      <rPr>
        <sz val="10"/>
        <color rgb="FF000000"/>
        <rFont val="Arial"/>
        <charset val="1"/>
      </rPr>
      <t xml:space="preserve">Incidência do FGTS sobre o Aviso Prévio Indenizado. </t>
    </r>
    <r>
      <rPr>
        <sz val="9"/>
        <color rgb="FF000000"/>
        <rFont val="Arial"/>
        <charset val="1"/>
      </rPr>
      <t xml:space="preserve">Cálculo: 0,0042×0,08×100≈0,0336% </t>
    </r>
  </si>
  <si>
    <r>
      <rPr>
        <sz val="10"/>
        <color rgb="FF000000"/>
        <rFont val="Arial"/>
        <charset val="1"/>
      </rPr>
      <t xml:space="preserve">Multa do FGTS sobre o Aviso Prévio Indenizado. </t>
    </r>
    <r>
      <rPr>
        <sz val="9"/>
        <color rgb="FF000000"/>
        <rFont val="Arial"/>
        <charset val="1"/>
      </rPr>
      <t>Cálculo: [1+(2/12)+((1/3)*(1/12))]*0,08*0,4*0,9*100≈3,44%</t>
    </r>
  </si>
  <si>
    <r>
      <rPr>
        <sz val="10"/>
        <color rgb="FF000000"/>
        <rFont val="Arial"/>
        <charset val="1"/>
      </rPr>
      <t xml:space="preserve">Aviso Prévio Trabalhado. </t>
    </r>
    <r>
      <rPr>
        <sz val="9"/>
        <color rgb="FF000000"/>
        <rFont val="Arial"/>
        <charset val="1"/>
      </rPr>
      <t>Cálculo: ((7/30)/12)x100=1,94% incidente sobre o total da Remuneração (*)</t>
    </r>
  </si>
  <si>
    <r>
      <rPr>
        <sz val="10"/>
        <color rgb="FF000000"/>
        <rFont val="Arial"/>
        <charset val="1"/>
      </rPr>
      <t xml:space="preserve">Incidência dos encargos do submódulo 2.2 sobre o Aviso Prévio Trabalhado. </t>
    </r>
    <r>
      <rPr>
        <sz val="9"/>
        <color rgb="FF000000"/>
        <rFont val="Arial"/>
        <charset val="1"/>
      </rPr>
      <t>Cálculo: 36,80%×1,94%≈0,72%</t>
    </r>
  </si>
  <si>
    <r>
      <rPr>
        <sz val="10"/>
        <color rgb="FF000000"/>
        <rFont val="Arial"/>
        <charset val="1"/>
      </rPr>
      <t xml:space="preserve">Multa do FGTS e contribuição social sobre o Aviso Prévio Trabalhado. </t>
    </r>
    <r>
      <rPr>
        <sz val="9"/>
        <color rgb="FF000000"/>
        <rFont val="Arial"/>
        <charset val="1"/>
      </rPr>
      <t>Cálculo: 0,0194×0,08×0,4×100≈0,062%</t>
    </r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</si>
  <si>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</si>
  <si>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</si>
  <si>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</si>
  <si>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</si>
  <si>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</si>
  <si>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r>
      <rPr>
        <sz val="10"/>
        <color rgb="FF000000"/>
        <rFont val="Arial"/>
        <charset val="1"/>
      </rPr>
      <t xml:space="preserve">Substituição durante as férias. </t>
    </r>
    <r>
      <rPr>
        <sz val="9"/>
        <color rgb="FF000000"/>
        <rFont val="Arial"/>
        <charset val="1"/>
      </rPr>
      <t>Cálculo: (1/12)*100  / x 100</t>
    </r>
  </si>
  <si>
    <r>
      <rPr>
        <sz val="10"/>
        <color rgb="FF000000"/>
        <rFont val="Arial"/>
        <charset val="1"/>
      </rPr>
      <t xml:space="preserve">Substituição durante ausência por doença. </t>
    </r>
    <r>
      <rPr>
        <sz val="9"/>
        <color rgb="FF000000"/>
        <rFont val="Arial"/>
        <charset val="1"/>
      </rPr>
      <t>Cálculo: (5÷30÷12) = 1,39% (estimativa de 5 dias de licença por ano)</t>
    </r>
  </si>
  <si>
    <r>
      <rPr>
        <sz val="10"/>
        <color rgb="FF000000"/>
        <rFont val="Arial"/>
        <charset val="1"/>
      </rPr>
      <t xml:space="preserve">Substituição durante licença maternidade. </t>
    </r>
    <r>
      <rPr>
        <sz val="9"/>
        <color rgb="FF000000"/>
        <rFont val="Arial"/>
        <charset val="1"/>
      </rPr>
      <t>Cálculo: 11,11%×5,28%×50%≅0,29%</t>
    </r>
  </si>
  <si>
    <r>
      <rPr>
        <sz val="10"/>
        <color rgb="FF000000"/>
        <rFont val="Arial"/>
        <charset val="1"/>
      </rPr>
      <t xml:space="preserve">Substituição durante licença paternidade. </t>
    </r>
    <r>
      <rPr>
        <sz val="9"/>
        <color rgb="FF000000"/>
        <rFont val="Arial"/>
        <charset val="1"/>
      </rPr>
      <t>Cálculo: (5÷30÷12)×0,015×100≅0,02%</t>
    </r>
  </si>
  <si>
    <r>
      <rPr>
        <sz val="10"/>
        <color rgb="FF000000"/>
        <rFont val="Arial"/>
        <charset val="1"/>
      </rPr>
      <t xml:space="preserve">Substituição durante ausências legais. </t>
    </r>
    <r>
      <rPr>
        <sz val="9"/>
        <color rgb="FF000000"/>
        <rFont val="Arial"/>
        <charset val="1"/>
      </rPr>
      <t>Cálculo: (1÷30÷12)×100≅0,28%</t>
    </r>
  </si>
  <si>
    <r>
      <rPr>
        <sz val="10"/>
        <color rgb="FF000000"/>
        <rFont val="Arial"/>
        <charset val="1"/>
      </rPr>
      <t xml:space="preserve">Substituição durante ausência por acidente de trabalho. </t>
    </r>
    <r>
      <rPr>
        <sz val="9"/>
        <color rgb="FF000000"/>
        <rFont val="Arial"/>
        <charset val="1"/>
      </rPr>
      <t>Cálculo: (1 ÷ 12)×0,0178×100≅0,07%</t>
    </r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</si>
  <si>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</si>
  <si>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</si>
  <si>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</si>
  <si>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</si>
  <si>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 (Custo Fixo)</t>
  </si>
  <si>
    <t>Mão de obra vinculada à execução contratual</t>
  </si>
  <si>
    <t>Módulo 3 - Provisão para Rescisão</t>
  </si>
  <si>
    <t>Subtotal (A+B+C+D)</t>
  </si>
  <si>
    <t>2 - INSUMOS DIVERSOS - MENSAL</t>
  </si>
  <si>
    <t>Taxas Diversas - Custo Fixo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</si>
  <si>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</si>
  <si>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</si>
  <si>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</si>
  <si>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</si>
  <si>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</si>
  <si>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</si>
  <si>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</si>
  <si>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</si>
  <si>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A.3</t>
  </si>
  <si>
    <t>Taxa Vistoria PMSM - Semestral</t>
  </si>
  <si>
    <t>A.4</t>
  </si>
  <si>
    <t>Inspeção veicular</t>
  </si>
  <si>
    <t>Depreciação - Custo Fixo</t>
  </si>
  <si>
    <t>Valor veículo</t>
  </si>
  <si>
    <t xml:space="preserve">Valor Residual </t>
  </si>
  <si>
    <t>Valor Depreciável</t>
  </si>
  <si>
    <t>Indicador de idade do veículo</t>
  </si>
  <si>
    <t>Idade do veículo</t>
  </si>
  <si>
    <t>% de depreciação</t>
  </si>
  <si>
    <t xml:space="preserve">FIPE </t>
  </si>
  <si>
    <t>Veiculo de 0 a 1 ano</t>
  </si>
  <si>
    <t>Veiculo de 1 a 2 anos</t>
  </si>
  <si>
    <t>B.3</t>
  </si>
  <si>
    <t>Veiculo de 2 a 3 anos</t>
  </si>
  <si>
    <t>B.4</t>
  </si>
  <si>
    <t>Veiculo de 3 a 4 anos</t>
  </si>
  <si>
    <t>B.5</t>
  </si>
  <si>
    <t>Veiculo de 4 a 5 anos</t>
  </si>
  <si>
    <t>B.6</t>
  </si>
  <si>
    <t>Veiculo de 5 a 6 anos</t>
  </si>
  <si>
    <t>B.7</t>
  </si>
  <si>
    <t>Veiculo de 6 a 7 anos</t>
  </si>
  <si>
    <t>B.8</t>
  </si>
  <si>
    <t>Veiculo de 7 a 8 anos</t>
  </si>
  <si>
    <t>B.9</t>
  </si>
  <si>
    <t>Veiculo de 8 a 9 anos</t>
  </si>
  <si>
    <t>B10</t>
  </si>
  <si>
    <t>Veiculo de 9 a 10 ano</t>
  </si>
  <si>
    <t>B.11</t>
  </si>
  <si>
    <t>Veiculo acima de 10 anos</t>
  </si>
  <si>
    <t xml:space="preserve">Observação: foI utilizado o Método de Cole, e o valor residual de 15 por cento. </t>
  </si>
  <si>
    <t>Remuneração do Capital - Custo Fixo</t>
  </si>
  <si>
    <t>Valor Selic</t>
  </si>
  <si>
    <t>BCB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</si>
  <si>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</si>
  <si>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</si>
  <si>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</si>
  <si>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</si>
  <si>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</si>
  <si>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</si>
  <si>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</si>
  <si>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</si>
  <si>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</si>
  <si>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</si>
  <si>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</si>
  <si>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Combustível - Custo Variável</t>
  </si>
  <si>
    <t>Km/Dia</t>
  </si>
  <si>
    <t>Dias/Mês</t>
  </si>
  <si>
    <t>Valor Litro</t>
  </si>
  <si>
    <t>Consumo</t>
  </si>
  <si>
    <t>D.1</t>
  </si>
  <si>
    <t>Diesel</t>
  </si>
  <si>
    <t>Outros  - Custo Variável</t>
  </si>
  <si>
    <t>Valor unit.</t>
  </si>
  <si>
    <t>E.1</t>
  </si>
  <si>
    <t xml:space="preserve">Manutenção Mecânica incluindo peças e óleos lubrificantes. </t>
  </si>
  <si>
    <t>Serviço</t>
  </si>
  <si>
    <t>E.2</t>
  </si>
  <si>
    <t>Lavagem e Higienização dos veículos</t>
  </si>
  <si>
    <t>E.3</t>
  </si>
  <si>
    <t>Pneus 195/75/16</t>
  </si>
  <si>
    <t>Unidade</t>
  </si>
  <si>
    <t>Outros  - Custo Fixo</t>
  </si>
  <si>
    <t>F.1</t>
  </si>
  <si>
    <t>Sistema de Rastreamento Veícular</t>
  </si>
  <si>
    <t>Total de Insumos diversos</t>
  </si>
  <si>
    <t>3 - RESUMO DO CUSTO MENSAL</t>
  </si>
  <si>
    <t>Mão de obra - Custo Fixo</t>
  </si>
  <si>
    <t>Insumos diversos - Custo Fixo</t>
  </si>
  <si>
    <t>Insumos diversos - Custo Variável</t>
  </si>
  <si>
    <t>Subtotal (A+B+C)</t>
  </si>
  <si>
    <t>4 - CUSTOS INDIRETOS, LUCRO E TRIBUTOS SOBRE O CUSTO MENSAL</t>
  </si>
  <si>
    <t>Custos Indiretos, Tributos e Lucro</t>
  </si>
  <si>
    <t>Descrição</t>
  </si>
  <si>
    <t>Base de Cálculo</t>
  </si>
  <si>
    <t xml:space="preserve">Valor CF </t>
  </si>
  <si>
    <t>Valor CV</t>
  </si>
  <si>
    <t>Custos indiretos (Despesas operacionais e administrativas)</t>
  </si>
  <si>
    <t>Lucro</t>
  </si>
  <si>
    <t>Tributos Federais</t>
  </si>
  <si>
    <t>PIS</t>
  </si>
  <si>
    <t>Custo mensal + custos indiretos + lucro</t>
  </si>
  <si>
    <t>COFINS</t>
  </si>
  <si>
    <r>
      <rPr>
        <sz val="10"/>
        <color rgb="FF000000"/>
        <rFont val="Arial"/>
        <charset val="1"/>
      </rPr>
      <t>F= 1-(</t>
    </r>
    <r>
      <rPr>
        <sz val="10"/>
        <color rgb="FFFF0000"/>
        <rFont val="Arial"/>
        <charset val="1"/>
      </rPr>
      <t>9,25</t>
    </r>
    <r>
      <rPr>
        <sz val="10"/>
        <color rgb="FF000000"/>
        <rFont val="Arial"/>
        <charset val="1"/>
      </rPr>
      <t>/100)</t>
    </r>
  </si>
  <si>
    <t>Tributo Municipal</t>
  </si>
  <si>
    <t>ISS</t>
  </si>
  <si>
    <t>Custo mensal + custos indiretos + lucro + tributos federais</t>
  </si>
  <si>
    <r>
      <rPr>
        <sz val="10"/>
        <color rgb="FF000000"/>
        <rFont val="Arial"/>
        <charset val="1"/>
      </rPr>
      <t>F= 1-(</t>
    </r>
    <r>
      <rPr>
        <sz val="10"/>
        <color rgb="FFFF0000"/>
        <rFont val="Arial"/>
        <charset val="1"/>
      </rPr>
      <t>2,50</t>
    </r>
    <r>
      <rPr>
        <sz val="10"/>
        <color rgb="FF000000"/>
        <rFont val="Arial"/>
        <charset val="1"/>
      </rPr>
      <t>/100)</t>
    </r>
  </si>
  <si>
    <t>TOTAL</t>
  </si>
  <si>
    <r>
      <rPr>
        <sz val="9"/>
        <color rgb="FF000000"/>
        <rFont val="Arial"/>
        <charset val="1"/>
      </rPr>
      <t xml:space="preserve">Observação: </t>
    </r>
    <r>
      <rPr>
        <b/>
        <sz val="9"/>
        <color rgb="FF000000"/>
        <rFont val="Arial"/>
        <charset val="1"/>
      </rPr>
      <t>Índices C</t>
    </r>
    <r>
      <rPr>
        <sz val="9"/>
        <color rgb="FF000000"/>
        <rFont val="Arial"/>
        <charset val="1"/>
      </rPr>
      <t>,  Lei nº 10.637/02, art. 2º e Lei 10.833/03, art. 2º.</t>
    </r>
  </si>
  <si>
    <r>
      <rPr>
        <sz val="9"/>
        <color rgb="FF000000"/>
        <rFont val="Arial"/>
        <charset val="1"/>
      </rPr>
      <t xml:space="preserve">Observação: </t>
    </r>
    <r>
      <rPr>
        <b/>
        <sz val="9"/>
        <color rgb="FF000000"/>
        <rFont val="Arial"/>
        <charset val="1"/>
      </rPr>
      <t>Índices D</t>
    </r>
    <r>
      <rPr>
        <sz val="9"/>
        <color rgb="FF000000"/>
        <rFont val="Arial"/>
        <charset val="1"/>
      </rPr>
      <t>,  Lei Complementar nº 2/01, de 28-12-2001, 2 Tabela II; 2 Imposto sobre Serviços de Qualquer Natureza; 3. USSQN - Homologado; 16.01.02</t>
    </r>
  </si>
  <si>
    <t>5 - CÁLCULO DO ROTEIRO</t>
  </si>
  <si>
    <t>Mão de obra</t>
  </si>
  <si>
    <t>Insumos diversos</t>
  </si>
  <si>
    <t>Custos indiretos, tributos e lucro</t>
  </si>
  <si>
    <t>Total mensal</t>
  </si>
  <si>
    <t>Valor do Km rodado</t>
  </si>
  <si>
    <t>Valor do custo variável do Km rodado C/BDI</t>
  </si>
  <si>
    <t>Custo Fixo do Roteiro</t>
  </si>
  <si>
    <t>Custo Variável do Roteiro</t>
  </si>
  <si>
    <t>Custo Variável do Roteiro Arredondado (R$ 2,87 X 1.536 km)</t>
  </si>
  <si>
    <t>Santa Maria, 24 de agosto de 2024.</t>
  </si>
  <si>
    <t>Jean Alexandre Pezzini</t>
  </si>
  <si>
    <t>Contador - Matrícula 17.063-1</t>
  </si>
  <si>
    <t>Valor total</t>
  </si>
  <si>
    <t>CF</t>
  </si>
  <si>
    <t>CV</t>
  </si>
  <si>
    <t>CTR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</si>
</sst>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0.0000"/>
    <numFmt numFmtId="168" formatCode="0.000"/>
    <numFmt numFmtId="169" formatCode="_-* #,##0.00_-;\-* #,##0.00_-;_-* \-??_-;_-@"/>
    <numFmt numFmtId="170" formatCode="_-&quot;R$ &quot;* #,##0.00_-;&quot;-R$ &quot;* #,##0.00_-;_-&quot;R$ &quot;* \-??_-;_-@"/>
    <numFmt numFmtId="171" formatCode="0.000000%"/>
    <numFmt numFmtId="172" formatCode="d/m/yyyy"/>
    <numFmt numFmtId="173" formatCode="_ * #,##0.00_ ;_ * \-#,##0.00_ ;_ * \-??_ ;_ @_ "/>
    <numFmt numFmtId="174" formatCode="#,##0.0000"/>
  </numFmts>
  <fonts count="20">
    <font>
      <sz val="11"/>
      <color rgb="FF000000"/>
      <name val="Calibri"/>
      <charset val="1"/>
    </font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sz val="10"/>
      <color rgb="FFFF0000"/>
      <name val="Arial"/>
      <charset val="1"/>
    </font>
    <font>
      <b/>
      <sz val="10"/>
      <color rgb="FF000000"/>
      <name val="Arial"/>
      <charset val="1"/>
    </font>
    <font>
      <sz val="11"/>
      <name val="Calibri"/>
      <charset val="1"/>
    </font>
    <font>
      <sz val="9"/>
      <color rgb="FF000000"/>
      <name val="Arial"/>
      <charset val="1"/>
    </font>
    <font>
      <sz val="8"/>
      <color rgb="FF000000"/>
      <name val="Arial"/>
      <charset val="1"/>
    </font>
    <font>
      <sz val="11"/>
      <color rgb="FF333333"/>
      <name val="Roboto"/>
      <charset val="1"/>
    </font>
    <font>
      <u/>
      <sz val="10"/>
      <color rgb="FF0000FF"/>
      <name val="Arial"/>
      <charset val="1"/>
    </font>
    <font>
      <sz val="11"/>
      <color rgb="FF1F1F1F"/>
      <name val="Arial"/>
      <charset val="1"/>
    </font>
    <font>
      <sz val="12"/>
      <color rgb="FF606060"/>
      <name val="Ubuntu"/>
      <charset val="1"/>
    </font>
    <font>
      <u/>
      <sz val="11"/>
      <color rgb="FF0563C1"/>
      <name val="Calibri"/>
      <charset val="1"/>
    </font>
    <font>
      <sz val="12"/>
      <color rgb="FF555555"/>
      <name val="Rawline"/>
      <charset val="1"/>
    </font>
    <font>
      <b/>
      <sz val="11"/>
      <name val="Calibri"/>
      <family val="2"/>
      <charset val="1"/>
    </font>
    <font>
      <b/>
      <sz val="10"/>
      <color rgb="FF000000"/>
      <name val="Arial"/>
      <family val="2"/>
      <charset val="1"/>
    </font>
    <font>
      <b/>
      <sz val="9"/>
      <color rgb="FF000000"/>
      <name val="Arial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Calibri"/>
      <charset val="1"/>
    </font>
    <font>
      <sz val="11"/>
      <color rgb="FF000000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73" fontId="19" fillId="0" borderId="0" applyBorder="0" applyProtection="0"/>
    <xf numFmtId="165" fontId="19" fillId="0" borderId="0" applyBorder="0" applyProtection="0"/>
  </cellStyleXfs>
  <cellXfs count="170">
    <xf numFmtId="0" fontId="0" fillId="0" borderId="0" xfId="0"/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1" fillId="3" borderId="0" xfId="0" applyFont="1" applyFill="1" applyBorder="1"/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3" fillId="5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Border="1"/>
    <xf numFmtId="0" fontId="1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/>
    <xf numFmtId="165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6" fontId="1" fillId="0" borderId="6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166" fontId="1" fillId="0" borderId="0" xfId="0" applyNumberFormat="1" applyFont="1"/>
    <xf numFmtId="164" fontId="1" fillId="0" borderId="0" xfId="0" applyNumberFormat="1" applyFont="1"/>
    <xf numFmtId="0" fontId="1" fillId="0" borderId="1" xfId="0" applyFont="1" applyBorder="1"/>
    <xf numFmtId="166" fontId="4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6" fontId="0" fillId="0" borderId="0" xfId="0" applyNumberFormat="1" applyFont="1"/>
    <xf numFmtId="4" fontId="1" fillId="0" borderId="0" xfId="0" applyNumberFormat="1" applyFont="1" applyAlignment="1">
      <alignment horizontal="center"/>
    </xf>
    <xf numFmtId="167" fontId="1" fillId="0" borderId="1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7" fillId="0" borderId="0" xfId="0" applyFont="1"/>
    <xf numFmtId="0" fontId="1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/>
    </xf>
    <xf numFmtId="16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8" fillId="3" borderId="0" xfId="0" applyFont="1" applyFill="1" applyBorder="1"/>
    <xf numFmtId="0" fontId="9" fillId="0" borderId="0" xfId="0" applyFont="1"/>
    <xf numFmtId="4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0" fontId="0" fillId="0" borderId="1" xfId="0" applyNumberFormat="1" applyFont="1" applyBorder="1"/>
    <xf numFmtId="170" fontId="1" fillId="0" borderId="1" xfId="0" applyNumberFormat="1" applyFont="1" applyBorder="1" applyAlignment="1"/>
    <xf numFmtId="170" fontId="1" fillId="0" borderId="1" xfId="0" applyNumberFormat="1" applyFont="1" applyBorder="1"/>
    <xf numFmtId="10" fontId="1" fillId="0" borderId="0" xfId="0" applyNumberFormat="1" applyFont="1"/>
    <xf numFmtId="0" fontId="11" fillId="3" borderId="0" xfId="0" applyFont="1" applyFill="1" applyAlignment="1">
      <alignment horizontal="left"/>
    </xf>
    <xf numFmtId="0" fontId="9" fillId="0" borderId="0" xfId="0" applyFont="1" applyAlignment="1"/>
    <xf numFmtId="172" fontId="11" fillId="3" borderId="0" xfId="0" applyNumberFormat="1" applyFont="1" applyFill="1" applyAlignment="1">
      <alignment horizontal="left"/>
    </xf>
    <xf numFmtId="0" fontId="4" fillId="0" borderId="0" xfId="0" applyFont="1"/>
    <xf numFmtId="164" fontId="1" fillId="5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3" borderId="0" xfId="0" applyFont="1" applyFill="1" applyBorder="1"/>
    <xf numFmtId="165" fontId="1" fillId="0" borderId="0" xfId="2" applyFont="1" applyBorder="1" applyAlignment="1" applyProtection="1"/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5" fillId="0" borderId="3" xfId="0" applyFont="1" applyBorder="1"/>
    <xf numFmtId="164" fontId="1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14" fillId="0" borderId="1" xfId="0" applyNumberFormat="1" applyFont="1" applyBorder="1" applyAlignment="1"/>
    <xf numFmtId="164" fontId="4" fillId="0" borderId="6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173" fontId="1" fillId="0" borderId="0" xfId="0" applyNumberFormat="1" applyFont="1"/>
    <xf numFmtId="165" fontId="15" fillId="0" borderId="1" xfId="0" applyNumberFormat="1" applyFont="1" applyBorder="1" applyAlignment="1">
      <alignment horizontal="center" vertical="center" wrapText="1"/>
    </xf>
    <xf numFmtId="10" fontId="1" fillId="5" borderId="4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Border="1" applyAlignment="1"/>
    <xf numFmtId="164" fontId="1" fillId="0" borderId="1" xfId="0" applyNumberFormat="1" applyFont="1" applyBorder="1" applyAlignment="1"/>
    <xf numFmtId="10" fontId="1" fillId="5" borderId="6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74" fontId="3" fillId="0" borderId="6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164" fontId="1" fillId="0" borderId="1" xfId="0" applyNumberFormat="1" applyFont="1" applyBorder="1"/>
    <xf numFmtId="166" fontId="1" fillId="0" borderId="1" xfId="0" applyNumberFormat="1" applyFont="1" applyBorder="1"/>
    <xf numFmtId="164" fontId="4" fillId="0" borderId="1" xfId="0" applyNumberFormat="1" applyFont="1" applyBorder="1"/>
    <xf numFmtId="173" fontId="1" fillId="0" borderId="0" xfId="1" applyFont="1" applyBorder="1" applyAlignment="1" applyProtection="1"/>
    <xf numFmtId="0" fontId="17" fillId="0" borderId="1" xfId="0" applyFont="1" applyBorder="1"/>
    <xf numFmtId="164" fontId="15" fillId="0" borderId="1" xfId="0" applyNumberFormat="1" applyFont="1" applyBorder="1"/>
    <xf numFmtId="0" fontId="17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5" fillId="0" borderId="0" xfId="0" applyFont="1" applyBorder="1"/>
    <xf numFmtId="164" fontId="4" fillId="0" borderId="0" xfId="0" applyNumberFormat="1" applyFont="1" applyBorder="1"/>
    <xf numFmtId="0" fontId="1" fillId="0" borderId="0" xfId="0" applyFont="1" applyAlignment="1">
      <alignment horizontal="right"/>
    </xf>
    <xf numFmtId="165" fontId="19" fillId="0" borderId="0" xfId="2" applyBorder="1" applyProtection="1"/>
    <xf numFmtId="165" fontId="18" fillId="0" borderId="1" xfId="2" applyFont="1" applyBorder="1" applyAlignment="1" applyProtection="1"/>
    <xf numFmtId="165" fontId="0" fillId="0" borderId="1" xfId="2" applyFont="1" applyBorder="1" applyAlignment="1" applyProtection="1"/>
    <xf numFmtId="165" fontId="0" fillId="0" borderId="1" xfId="0" applyNumberFormat="1" applyFont="1" applyBorder="1" applyAlignment="1"/>
    <xf numFmtId="165" fontId="1" fillId="0" borderId="1" xfId="0" applyNumberFormat="1" applyFont="1" applyBorder="1"/>
    <xf numFmtId="164" fontId="3" fillId="0" borderId="1" xfId="0" applyNumberFormat="1" applyFont="1" applyFill="1" applyBorder="1" applyAlignment="1">
      <alignment horizontal="center" vertical="center" wrapText="1"/>
    </xf>
    <xf numFmtId="166" fontId="1" fillId="6" borderId="6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/>
    </xf>
    <xf numFmtId="170" fontId="1" fillId="0" borderId="1" xfId="0" applyNumberFormat="1" applyFont="1" applyFill="1" applyBorder="1"/>
    <xf numFmtId="10" fontId="10" fillId="0" borderId="0" xfId="0" applyNumberFormat="1" applyFont="1" applyFill="1" applyBorder="1"/>
    <xf numFmtId="4" fontId="1" fillId="0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64" fontId="1" fillId="5" borderId="8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horizontal="center"/>
    </xf>
    <xf numFmtId="0" fontId="4" fillId="4" borderId="4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71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0" fontId="3" fillId="0" borderId="5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0" fontId="1" fillId="5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0" fontId="6" fillId="5" borderId="7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" fillId="0" borderId="0" xfId="0" applyFont="1" applyBorder="1" applyAlignment="1">
      <alignment horizont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1F1F1F"/>
      <rgbColor rgb="FF993300"/>
      <rgbColor rgb="FF993366"/>
      <rgbColor rgb="FF555555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33"/>
  <sheetViews>
    <sheetView tabSelected="1" topLeftCell="B1" zoomScale="75" zoomScaleNormal="75" workbookViewId="0">
      <selection activeCell="K177" sqref="K177"/>
    </sheetView>
  </sheetViews>
  <sheetFormatPr defaultColWidth="14.42578125" defaultRowHeight="15"/>
  <cols>
    <col min="1" max="1" width="9.140625" customWidth="1"/>
    <col min="2" max="2" width="25.140625" customWidth="1"/>
    <col min="3" max="3" width="21.7109375" customWidth="1"/>
    <col min="4" max="4" width="19.140625" customWidth="1"/>
    <col min="5" max="5" width="17.28515625" customWidth="1"/>
    <col min="6" max="6" width="19.85546875" customWidth="1"/>
    <col min="7" max="7" width="19.85546875" style="1" customWidth="1"/>
    <col min="8" max="8" width="17" customWidth="1"/>
    <col min="9" max="9" width="15.28515625" style="1" customWidth="1"/>
    <col min="10" max="10" width="16.7109375" customWidth="1"/>
    <col min="11" max="11" width="18.7109375" customWidth="1"/>
    <col min="12" max="12" width="17.85546875" customWidth="1"/>
    <col min="13" max="13" width="16.7109375" customWidth="1"/>
    <col min="14" max="14" width="15.42578125" customWidth="1"/>
    <col min="15" max="15" width="10.140625" customWidth="1"/>
    <col min="16" max="16" width="10" customWidth="1"/>
    <col min="17" max="17" width="12.140625" customWidth="1"/>
    <col min="18" max="27" width="9.140625" customWidth="1"/>
  </cols>
  <sheetData>
    <row r="1" spans="1:27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>
      <c r="A2" s="2"/>
      <c r="B2" s="122" t="s">
        <v>0</v>
      </c>
      <c r="C2" s="122"/>
      <c r="D2" s="122"/>
      <c r="E2" s="122"/>
      <c r="F2" s="122"/>
      <c r="G2" s="122"/>
      <c r="H2" s="122"/>
      <c r="I2" s="122"/>
      <c r="J2" s="122"/>
      <c r="K2" s="122"/>
      <c r="L2" s="3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>
      <c r="A3" s="2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4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1.25" customHeight="1">
      <c r="A4" s="2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17.25" customHeight="1">
      <c r="A5" s="2"/>
      <c r="B5" s="122" t="s">
        <v>1</v>
      </c>
      <c r="C5" s="122"/>
      <c r="D5" s="122"/>
      <c r="E5" s="122"/>
      <c r="F5" s="122"/>
      <c r="G5" s="122"/>
      <c r="H5" s="122"/>
      <c r="I5" s="122"/>
      <c r="J5" s="122"/>
      <c r="K5" s="12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>
      <c r="A6" s="2"/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>
      <c r="A7" s="2"/>
      <c r="B7" s="126" t="s">
        <v>2</v>
      </c>
      <c r="C7" s="126"/>
      <c r="D7" s="126"/>
      <c r="E7" s="126"/>
      <c r="F7" s="126"/>
      <c r="G7" s="126"/>
      <c r="H7" s="126"/>
      <c r="I7" s="126"/>
      <c r="J7" s="126"/>
      <c r="K7" s="126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2.75" customHeight="1">
      <c r="A8" s="2"/>
      <c r="B8" s="127" t="s">
        <v>3</v>
      </c>
      <c r="C8" s="127"/>
      <c r="D8" s="127"/>
      <c r="E8" s="5" t="s">
        <v>4</v>
      </c>
      <c r="F8" s="5" t="s">
        <v>5</v>
      </c>
      <c r="G8" s="5"/>
      <c r="H8" s="6" t="s">
        <v>6</v>
      </c>
      <c r="I8" s="7"/>
      <c r="J8" s="7" t="s">
        <v>7</v>
      </c>
      <c r="K8" s="5" t="s">
        <v>7</v>
      </c>
      <c r="L8" s="3"/>
      <c r="M8" s="3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2.75" customHeight="1">
      <c r="A9" s="2"/>
      <c r="B9" s="128" t="s">
        <v>8</v>
      </c>
      <c r="C9" s="128"/>
      <c r="D9" s="128"/>
      <c r="E9" s="8" t="s">
        <v>9</v>
      </c>
      <c r="F9" s="9" t="s">
        <v>10</v>
      </c>
      <c r="G9" s="9"/>
      <c r="H9" s="10" t="s">
        <v>11</v>
      </c>
      <c r="I9" s="10"/>
      <c r="J9" s="11"/>
      <c r="K9" s="12">
        <f>((J9/220)*220)*L9</f>
        <v>0</v>
      </c>
      <c r="L9" s="13">
        <v>1</v>
      </c>
      <c r="M9" s="2" t="s">
        <v>12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2.75" customHeight="1">
      <c r="A10" s="2"/>
      <c r="B10" s="128" t="s">
        <v>13</v>
      </c>
      <c r="C10" s="128"/>
      <c r="D10" s="128"/>
      <c r="E10" s="8" t="s">
        <v>9</v>
      </c>
      <c r="F10" s="9" t="str">
        <f>F9</f>
        <v>RS002118/2024</v>
      </c>
      <c r="G10" s="9"/>
      <c r="H10" s="10" t="s">
        <v>11</v>
      </c>
      <c r="I10" s="10"/>
      <c r="J10" s="11"/>
      <c r="K10" s="12">
        <f>((J10/220)*220)*L9</f>
        <v>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2.75" customHeight="1">
      <c r="A11" s="2"/>
      <c r="B11" s="128"/>
      <c r="C11" s="128"/>
      <c r="D11" s="128"/>
      <c r="E11" s="14"/>
      <c r="F11" s="15"/>
      <c r="G11" s="15"/>
      <c r="H11" s="10"/>
      <c r="I11" s="10"/>
      <c r="J11" s="115"/>
      <c r="K11" s="1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12.75" customHeight="1">
      <c r="A12" s="16"/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</row>
    <row r="13" spans="1:27" ht="12.75" customHeight="1">
      <c r="A13" s="2"/>
      <c r="B13" s="126" t="s">
        <v>14</v>
      </c>
      <c r="C13" s="126"/>
      <c r="D13" s="126"/>
      <c r="E13" s="126"/>
      <c r="F13" s="126"/>
      <c r="G13" s="126"/>
      <c r="H13" s="126"/>
      <c r="I13" s="126"/>
      <c r="J13" s="126"/>
      <c r="K13" s="126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2.75" customHeight="1">
      <c r="A14" s="2"/>
      <c r="B14" s="5">
        <v>1</v>
      </c>
      <c r="C14" s="127" t="s">
        <v>15</v>
      </c>
      <c r="D14" s="127"/>
      <c r="E14" s="127"/>
      <c r="F14" s="127"/>
      <c r="G14" s="127"/>
      <c r="H14" s="127"/>
      <c r="I14" s="127"/>
      <c r="J14" s="127"/>
      <c r="K14" s="18" t="s">
        <v>16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>
      <c r="A15" s="2"/>
      <c r="B15" s="17" t="s">
        <v>17</v>
      </c>
      <c r="C15" s="130" t="s">
        <v>18</v>
      </c>
      <c r="D15" s="130"/>
      <c r="E15" s="130"/>
      <c r="F15" s="130"/>
      <c r="G15" s="19"/>
      <c r="H15" s="129" t="s">
        <v>19</v>
      </c>
      <c r="I15" s="129"/>
      <c r="J15" s="10" t="s">
        <v>20</v>
      </c>
      <c r="K15" s="10" t="s">
        <v>20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>
      <c r="A16" s="2"/>
      <c r="B16" s="20" t="s">
        <v>21</v>
      </c>
      <c r="C16" s="130" t="str">
        <f>B9</f>
        <v>Motorista(CBO xxx)</v>
      </c>
      <c r="D16" s="130"/>
      <c r="E16" s="130"/>
      <c r="F16" s="130"/>
      <c r="G16" s="19"/>
      <c r="H16" s="129">
        <v>1</v>
      </c>
      <c r="I16" s="129"/>
      <c r="J16" s="21">
        <f>K9</f>
        <v>0</v>
      </c>
      <c r="K16" s="22">
        <f>H16*J16</f>
        <v>0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>
      <c r="A17" s="2"/>
      <c r="B17" s="20" t="s">
        <v>22</v>
      </c>
      <c r="C17" s="130" t="str">
        <f>B10</f>
        <v>Monitor (CBO XXX)</v>
      </c>
      <c r="D17" s="130"/>
      <c r="E17" s="130"/>
      <c r="F17" s="130"/>
      <c r="G17" s="19"/>
      <c r="H17" s="129">
        <v>1</v>
      </c>
      <c r="I17" s="129"/>
      <c r="J17" s="21">
        <f>K10</f>
        <v>0</v>
      </c>
      <c r="K17" s="22">
        <f>H17*J17</f>
        <v>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>
      <c r="A18" s="2"/>
      <c r="B18" s="129"/>
      <c r="C18" s="129"/>
      <c r="D18" s="129"/>
      <c r="E18" s="129"/>
      <c r="F18" s="129"/>
      <c r="G18" s="129"/>
      <c r="H18" s="129"/>
      <c r="I18" s="129"/>
      <c r="J18" s="21"/>
      <c r="K18" s="2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2.75" customHeight="1">
      <c r="A19" s="2"/>
      <c r="B19" s="131" t="s">
        <v>23</v>
      </c>
      <c r="C19" s="131"/>
      <c r="D19" s="131"/>
      <c r="E19" s="131"/>
      <c r="F19" s="131"/>
      <c r="G19" s="131"/>
      <c r="H19" s="131"/>
      <c r="I19" s="131"/>
      <c r="J19" s="131"/>
      <c r="K19" s="24">
        <f>SUM(K16:K18)</f>
        <v>0</v>
      </c>
      <c r="L19" s="2"/>
      <c r="M19" s="25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>
      <c r="A20" s="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>
      <c r="A21" s="2"/>
      <c r="B21" s="126" t="s">
        <v>24</v>
      </c>
      <c r="C21" s="126"/>
      <c r="D21" s="126"/>
      <c r="E21" s="126"/>
      <c r="F21" s="126"/>
      <c r="G21" s="126"/>
      <c r="H21" s="126"/>
      <c r="I21" s="126"/>
      <c r="J21" s="126"/>
      <c r="K21" s="126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>
      <c r="A22" s="2"/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>
      <c r="A23" s="2"/>
      <c r="B23" s="134" t="s">
        <v>25</v>
      </c>
      <c r="C23" s="134"/>
      <c r="D23" s="134"/>
      <c r="E23" s="134"/>
      <c r="F23" s="134"/>
      <c r="G23" s="134"/>
      <c r="H23" s="134"/>
      <c r="I23" s="134"/>
      <c r="J23" s="134"/>
      <c r="K23" s="134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>
      <c r="A24" s="2"/>
      <c r="B24" s="23" t="s">
        <v>26</v>
      </c>
      <c r="C24" s="135" t="s">
        <v>27</v>
      </c>
      <c r="D24" s="135"/>
      <c r="E24" s="135"/>
      <c r="F24" s="135"/>
      <c r="G24" s="135"/>
      <c r="H24" s="135"/>
      <c r="I24" s="135"/>
      <c r="J24" s="23" t="s">
        <v>28</v>
      </c>
      <c r="K24" s="26" t="s">
        <v>16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>
      <c r="A25" s="2"/>
      <c r="B25" s="17" t="s">
        <v>17</v>
      </c>
      <c r="C25" s="130" t="s">
        <v>29</v>
      </c>
      <c r="D25" s="130"/>
      <c r="E25" s="130"/>
      <c r="F25" s="130"/>
      <c r="G25" s="130"/>
      <c r="H25" s="130"/>
      <c r="I25" s="130"/>
      <c r="J25" s="27">
        <f>1/12%</f>
        <v>8.3333333333333339</v>
      </c>
      <c r="K25" s="22">
        <f>J25*K19%</f>
        <v>0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2.75" customHeight="1">
      <c r="A26" s="2"/>
      <c r="B26" s="17" t="s">
        <v>30</v>
      </c>
      <c r="C26" s="130" t="s">
        <v>31</v>
      </c>
      <c r="D26" s="130"/>
      <c r="E26" s="130"/>
      <c r="F26" s="130"/>
      <c r="G26" s="130"/>
      <c r="H26" s="130"/>
      <c r="I26" s="130"/>
      <c r="J26" s="27">
        <v>2.78</v>
      </c>
      <c r="K26" s="22">
        <f>J26*K19%</f>
        <v>0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>
      <c r="A27" s="2"/>
      <c r="B27" s="131" t="s">
        <v>32</v>
      </c>
      <c r="C27" s="131"/>
      <c r="D27" s="131"/>
      <c r="E27" s="131"/>
      <c r="F27" s="131"/>
      <c r="G27" s="131"/>
      <c r="H27" s="131"/>
      <c r="I27" s="131"/>
      <c r="J27" s="131"/>
      <c r="K27" s="24">
        <f>SUM(K25:K26)</f>
        <v>0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>
      <c r="A28" s="2"/>
      <c r="B28" s="136" t="s">
        <v>33</v>
      </c>
      <c r="C28" s="136"/>
      <c r="D28" s="136"/>
      <c r="E28" s="136"/>
      <c r="F28" s="136"/>
      <c r="G28" s="136"/>
      <c r="H28" s="136"/>
      <c r="I28" s="136"/>
      <c r="J28" s="136"/>
      <c r="K28" s="136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>
      <c r="A29" s="2"/>
      <c r="B29" s="137"/>
      <c r="C29" s="137"/>
      <c r="D29" s="137"/>
      <c r="E29" s="137"/>
      <c r="F29" s="137"/>
      <c r="G29" s="137"/>
      <c r="H29" s="137"/>
      <c r="I29" s="137"/>
      <c r="J29" s="137"/>
      <c r="K29" s="137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>
      <c r="A30" s="2"/>
      <c r="B30" s="134" t="s">
        <v>34</v>
      </c>
      <c r="C30" s="134"/>
      <c r="D30" s="134"/>
      <c r="E30" s="134"/>
      <c r="F30" s="134"/>
      <c r="G30" s="134"/>
      <c r="H30" s="134"/>
      <c r="I30" s="134"/>
      <c r="J30" s="134"/>
      <c r="K30" s="134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2.75" customHeight="1">
      <c r="A31" s="2"/>
      <c r="B31" s="23" t="s">
        <v>35</v>
      </c>
      <c r="C31" s="135" t="s">
        <v>36</v>
      </c>
      <c r="D31" s="135"/>
      <c r="E31" s="135"/>
      <c r="F31" s="135"/>
      <c r="G31" s="135"/>
      <c r="H31" s="135"/>
      <c r="I31" s="135"/>
      <c r="J31" s="23" t="s">
        <v>28</v>
      </c>
      <c r="K31" s="26" t="s">
        <v>16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>
      <c r="A32" s="2"/>
      <c r="B32" s="17" t="s">
        <v>17</v>
      </c>
      <c r="C32" s="130" t="s">
        <v>37</v>
      </c>
      <c r="D32" s="130"/>
      <c r="E32" s="130"/>
      <c r="F32" s="130"/>
      <c r="G32" s="130"/>
      <c r="H32" s="130"/>
      <c r="I32" s="130"/>
      <c r="J32" s="27">
        <v>20</v>
      </c>
      <c r="K32" s="22">
        <f t="shared" ref="K32:K39" si="0">J32*($K$19%+$K$27%)</f>
        <v>0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2.75" customHeight="1">
      <c r="A33" s="2"/>
      <c r="B33" s="17" t="s">
        <v>30</v>
      </c>
      <c r="C33" s="130" t="s">
        <v>38</v>
      </c>
      <c r="D33" s="130"/>
      <c r="E33" s="130"/>
      <c r="F33" s="130"/>
      <c r="G33" s="130"/>
      <c r="H33" s="130"/>
      <c r="I33" s="130"/>
      <c r="J33" s="27">
        <v>1.5</v>
      </c>
      <c r="K33" s="22">
        <f t="shared" si="0"/>
        <v>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>
      <c r="A34" s="2"/>
      <c r="B34" s="17" t="s">
        <v>39</v>
      </c>
      <c r="C34" s="130" t="s">
        <v>40</v>
      </c>
      <c r="D34" s="130"/>
      <c r="E34" s="130"/>
      <c r="F34" s="130"/>
      <c r="G34" s="130"/>
      <c r="H34" s="130"/>
      <c r="I34" s="130"/>
      <c r="J34" s="27">
        <v>1</v>
      </c>
      <c r="K34" s="22">
        <f t="shared" si="0"/>
        <v>0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>
      <c r="A35" s="2"/>
      <c r="B35" s="17" t="s">
        <v>41</v>
      </c>
      <c r="C35" s="130" t="s">
        <v>42</v>
      </c>
      <c r="D35" s="130"/>
      <c r="E35" s="130"/>
      <c r="F35" s="130"/>
      <c r="G35" s="130"/>
      <c r="H35" s="130"/>
      <c r="I35" s="130"/>
      <c r="J35" s="27">
        <v>0.2</v>
      </c>
      <c r="K35" s="22">
        <f t="shared" si="0"/>
        <v>0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>
      <c r="A36" s="2"/>
      <c r="B36" s="17" t="s">
        <v>43</v>
      </c>
      <c r="C36" s="130" t="s">
        <v>44</v>
      </c>
      <c r="D36" s="130"/>
      <c r="E36" s="130"/>
      <c r="F36" s="130"/>
      <c r="G36" s="130"/>
      <c r="H36" s="130"/>
      <c r="I36" s="130"/>
      <c r="J36" s="27">
        <v>2.5</v>
      </c>
      <c r="K36" s="22">
        <f t="shared" si="0"/>
        <v>0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>
      <c r="A37" s="2"/>
      <c r="B37" s="17" t="s">
        <v>45</v>
      </c>
      <c r="C37" s="130" t="s">
        <v>46</v>
      </c>
      <c r="D37" s="130"/>
      <c r="E37" s="130"/>
      <c r="F37" s="130"/>
      <c r="G37" s="130"/>
      <c r="H37" s="130"/>
      <c r="I37" s="130"/>
      <c r="J37" s="27">
        <v>8</v>
      </c>
      <c r="K37" s="22">
        <f t="shared" si="0"/>
        <v>0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>
      <c r="A38" s="2"/>
      <c r="B38" s="17" t="s">
        <v>47</v>
      </c>
      <c r="C38" s="130" t="s">
        <v>48</v>
      </c>
      <c r="D38" s="130"/>
      <c r="E38" s="130"/>
      <c r="F38" s="130"/>
      <c r="G38" s="130"/>
      <c r="H38" s="130"/>
      <c r="I38" s="130"/>
      <c r="J38" s="27">
        <v>3</v>
      </c>
      <c r="K38" s="22">
        <f t="shared" si="0"/>
        <v>0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>
      <c r="A39" s="2"/>
      <c r="B39" s="17" t="s">
        <v>49</v>
      </c>
      <c r="C39" s="130" t="s">
        <v>50</v>
      </c>
      <c r="D39" s="130"/>
      <c r="E39" s="130"/>
      <c r="F39" s="130"/>
      <c r="G39" s="130"/>
      <c r="H39" s="130"/>
      <c r="I39" s="130"/>
      <c r="J39" s="27">
        <v>0.6</v>
      </c>
      <c r="K39" s="22">
        <f t="shared" si="0"/>
        <v>0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>
      <c r="A40" s="2"/>
      <c r="B40" s="131" t="s">
        <v>32</v>
      </c>
      <c r="C40" s="131"/>
      <c r="D40" s="131"/>
      <c r="E40" s="131"/>
      <c r="F40" s="131"/>
      <c r="G40" s="131"/>
      <c r="H40" s="131"/>
      <c r="I40" s="131"/>
      <c r="J40" s="28">
        <f>SUM(J32:J39)</f>
        <v>36.800000000000004</v>
      </c>
      <c r="K40" s="24">
        <f>SUM(K32:K39)</f>
        <v>0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>
      <c r="A41" s="2"/>
      <c r="B41" s="137"/>
      <c r="C41" s="137"/>
      <c r="D41" s="137"/>
      <c r="E41" s="137"/>
      <c r="F41" s="137"/>
      <c r="G41" s="137"/>
      <c r="H41" s="137"/>
      <c r="I41" s="137"/>
      <c r="J41" s="137"/>
      <c r="K41" s="137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2.75" customHeight="1">
      <c r="A42" s="2"/>
      <c r="B42" s="134" t="s">
        <v>51</v>
      </c>
      <c r="C42" s="134"/>
      <c r="D42" s="134"/>
      <c r="E42" s="134"/>
      <c r="F42" s="134"/>
      <c r="G42" s="134"/>
      <c r="H42" s="134"/>
      <c r="I42" s="134"/>
      <c r="J42" s="134"/>
      <c r="K42" s="134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>
      <c r="A43" s="2"/>
      <c r="B43" s="23" t="s">
        <v>52</v>
      </c>
      <c r="C43" s="135" t="s">
        <v>53</v>
      </c>
      <c r="D43" s="135"/>
      <c r="E43" s="135"/>
      <c r="F43" s="135"/>
      <c r="G43" s="135"/>
      <c r="H43" s="135"/>
      <c r="I43" s="135"/>
      <c r="J43" s="17"/>
      <c r="K43" s="29" t="s">
        <v>16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>
      <c r="A44" s="2"/>
      <c r="B44" s="17" t="s">
        <v>17</v>
      </c>
      <c r="C44" s="130" t="s">
        <v>54</v>
      </c>
      <c r="D44" s="130"/>
      <c r="E44" s="130"/>
      <c r="F44" s="130"/>
      <c r="G44" s="130"/>
      <c r="H44" s="138" t="s">
        <v>55</v>
      </c>
      <c r="I44" s="138"/>
      <c r="J44" s="17" t="s">
        <v>56</v>
      </c>
      <c r="K44" s="3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>
      <c r="A45" s="2"/>
      <c r="B45" s="20" t="s">
        <v>21</v>
      </c>
      <c r="C45" s="130" t="str">
        <f>C16</f>
        <v>Motorista(CBO xxx)</v>
      </c>
      <c r="D45" s="130"/>
      <c r="E45" s="130"/>
      <c r="F45" s="130"/>
      <c r="G45" s="130"/>
      <c r="H45" s="129">
        <f>H16</f>
        <v>1</v>
      </c>
      <c r="I45" s="129"/>
      <c r="J45" s="139"/>
      <c r="K45" s="31">
        <f>(((J45*22*2)-(J16*6%))*H45)*L9</f>
        <v>0</v>
      </c>
      <c r="L45" s="2"/>
      <c r="M45" s="32"/>
      <c r="N45" s="33"/>
      <c r="O45" s="34"/>
      <c r="P45" s="33"/>
      <c r="Q45" s="33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>
      <c r="A46" s="2"/>
      <c r="B46" s="20" t="s">
        <v>22</v>
      </c>
      <c r="C46" s="130" t="str">
        <f>C17</f>
        <v>Monitor (CBO XXX)</v>
      </c>
      <c r="D46" s="130"/>
      <c r="E46" s="130"/>
      <c r="F46" s="130"/>
      <c r="G46" s="130"/>
      <c r="H46" s="129">
        <f>H17</f>
        <v>1</v>
      </c>
      <c r="I46" s="129"/>
      <c r="J46" s="139"/>
      <c r="K46" s="31">
        <f>(((J45*22*2)-(J17*6%))*H46)*L9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>
      <c r="A47" s="2"/>
      <c r="B47" s="20"/>
      <c r="C47" s="130" t="s">
        <v>57</v>
      </c>
      <c r="D47" s="130"/>
      <c r="E47" s="130"/>
      <c r="F47" s="130"/>
      <c r="G47" s="130"/>
      <c r="H47" s="129"/>
      <c r="I47" s="129"/>
      <c r="J47" s="139"/>
      <c r="K47" s="3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>
      <c r="A48" s="2"/>
      <c r="B48" s="17" t="s">
        <v>30</v>
      </c>
      <c r="C48" s="140" t="s">
        <v>58</v>
      </c>
      <c r="D48" s="140"/>
      <c r="E48" s="140"/>
      <c r="F48" s="140"/>
      <c r="G48" s="140"/>
      <c r="H48" s="129"/>
      <c r="I48" s="129"/>
      <c r="J48" s="10" t="s">
        <v>59</v>
      </c>
      <c r="K48" s="35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>
      <c r="A49" s="2"/>
      <c r="B49" s="20" t="s">
        <v>60</v>
      </c>
      <c r="C49" s="141" t="str">
        <f>C45</f>
        <v>Motorista(CBO xxx)</v>
      </c>
      <c r="D49" s="141"/>
      <c r="E49" s="141"/>
      <c r="F49" s="141"/>
      <c r="G49" s="141"/>
      <c r="H49" s="141"/>
      <c r="I49" s="141"/>
      <c r="J49" s="142" t="str">
        <f>F9</f>
        <v>RS002118/2024</v>
      </c>
      <c r="K49" s="116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2.75" customHeight="1">
      <c r="A50" s="2"/>
      <c r="B50" s="20" t="s">
        <v>61</v>
      </c>
      <c r="C50" s="143" t="str">
        <f>C46</f>
        <v>Monitor (CBO XXX)</v>
      </c>
      <c r="D50" s="143"/>
      <c r="E50" s="143"/>
      <c r="F50" s="143"/>
      <c r="G50" s="143"/>
      <c r="H50" s="143"/>
      <c r="I50" s="143"/>
      <c r="J50" s="142"/>
      <c r="K50" s="116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>
      <c r="A51" s="2"/>
      <c r="B51" s="131" t="s">
        <v>32</v>
      </c>
      <c r="C51" s="131"/>
      <c r="D51" s="131"/>
      <c r="E51" s="131"/>
      <c r="F51" s="131"/>
      <c r="G51" s="131"/>
      <c r="H51" s="131"/>
      <c r="I51" s="131"/>
      <c r="J51" s="131"/>
      <c r="K51" s="36">
        <f>SUM(K44:K50)</f>
        <v>0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2.75" customHeight="1">
      <c r="A52" s="2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>
      <c r="A53" s="2"/>
      <c r="B53" s="134" t="s">
        <v>62</v>
      </c>
      <c r="C53" s="134"/>
      <c r="D53" s="134"/>
      <c r="E53" s="134"/>
      <c r="F53" s="134"/>
      <c r="G53" s="134"/>
      <c r="H53" s="134"/>
      <c r="I53" s="134"/>
      <c r="J53" s="134"/>
      <c r="K53" s="134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>
      <c r="A54" s="2"/>
      <c r="B54" s="23">
        <v>2</v>
      </c>
      <c r="C54" s="131" t="s">
        <v>63</v>
      </c>
      <c r="D54" s="131"/>
      <c r="E54" s="131"/>
      <c r="F54" s="131"/>
      <c r="G54" s="131"/>
      <c r="H54" s="131"/>
      <c r="I54" s="131"/>
      <c r="J54" s="131"/>
      <c r="K54" s="26" t="s">
        <v>16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>
      <c r="A55" s="2"/>
      <c r="B55" s="17" t="s">
        <v>26</v>
      </c>
      <c r="C55" s="130" t="s">
        <v>64</v>
      </c>
      <c r="D55" s="130"/>
      <c r="E55" s="130"/>
      <c r="F55" s="130"/>
      <c r="G55" s="130"/>
      <c r="H55" s="130"/>
      <c r="I55" s="130"/>
      <c r="J55" s="130"/>
      <c r="K55" s="22">
        <f>K27</f>
        <v>0</v>
      </c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>
      <c r="A56" s="2"/>
      <c r="B56" s="17" t="s">
        <v>35</v>
      </c>
      <c r="C56" s="130" t="s">
        <v>36</v>
      </c>
      <c r="D56" s="130"/>
      <c r="E56" s="130"/>
      <c r="F56" s="130"/>
      <c r="G56" s="130"/>
      <c r="H56" s="130"/>
      <c r="I56" s="130"/>
      <c r="J56" s="130"/>
      <c r="K56" s="22">
        <f>K40</f>
        <v>0</v>
      </c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>
      <c r="A57" s="2"/>
      <c r="B57" s="17" t="s">
        <v>52</v>
      </c>
      <c r="C57" s="130" t="s">
        <v>53</v>
      </c>
      <c r="D57" s="130"/>
      <c r="E57" s="130"/>
      <c r="F57" s="130"/>
      <c r="G57" s="130"/>
      <c r="H57" s="130"/>
      <c r="I57" s="130"/>
      <c r="J57" s="130"/>
      <c r="K57" s="22">
        <f>K51</f>
        <v>0</v>
      </c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>
      <c r="A58" s="2"/>
      <c r="B58" s="131" t="s">
        <v>32</v>
      </c>
      <c r="C58" s="131"/>
      <c r="D58" s="131"/>
      <c r="E58" s="131"/>
      <c r="F58" s="131"/>
      <c r="G58" s="131"/>
      <c r="H58" s="131"/>
      <c r="I58" s="131"/>
      <c r="J58" s="131"/>
      <c r="K58" s="24">
        <f>SUM(K55:K57)</f>
        <v>0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>
      <c r="A59" s="2"/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>
      <c r="A60" s="2"/>
      <c r="B60" s="134" t="s">
        <v>65</v>
      </c>
      <c r="C60" s="134"/>
      <c r="D60" s="134"/>
      <c r="E60" s="134"/>
      <c r="F60" s="134"/>
      <c r="G60" s="134"/>
      <c r="H60" s="134"/>
      <c r="I60" s="134"/>
      <c r="J60" s="134"/>
      <c r="K60" s="134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>
      <c r="A61" s="2"/>
      <c r="B61" s="23">
        <v>3</v>
      </c>
      <c r="C61" s="131" t="s">
        <v>66</v>
      </c>
      <c r="D61" s="131"/>
      <c r="E61" s="131"/>
      <c r="F61" s="131"/>
      <c r="G61" s="131"/>
      <c r="H61" s="131"/>
      <c r="I61" s="131"/>
      <c r="J61" s="23" t="s">
        <v>28</v>
      </c>
      <c r="K61" s="26" t="s">
        <v>16</v>
      </c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>
      <c r="A62" s="2"/>
      <c r="B62" s="17" t="s">
        <v>17</v>
      </c>
      <c r="C62" s="130" t="s">
        <v>67</v>
      </c>
      <c r="D62" s="130"/>
      <c r="E62" s="130"/>
      <c r="F62" s="130"/>
      <c r="G62" s="130"/>
      <c r="H62" s="130"/>
      <c r="I62" s="130"/>
      <c r="J62" s="27">
        <v>0.42</v>
      </c>
      <c r="K62" s="22">
        <f>J62*($K$19%)</f>
        <v>0</v>
      </c>
      <c r="L62" s="38"/>
      <c r="M62" s="3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>
      <c r="A63" s="2"/>
      <c r="B63" s="17" t="s">
        <v>30</v>
      </c>
      <c r="C63" s="130" t="s">
        <v>68</v>
      </c>
      <c r="D63" s="130"/>
      <c r="E63" s="130"/>
      <c r="F63" s="130"/>
      <c r="G63" s="130"/>
      <c r="H63" s="130"/>
      <c r="I63" s="130"/>
      <c r="J63" s="40">
        <v>3.3599999999999998E-2</v>
      </c>
      <c r="K63" s="22">
        <f>J63*$K$19%</f>
        <v>0</v>
      </c>
      <c r="L63" s="33"/>
      <c r="M63" s="39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>
      <c r="A64" s="2"/>
      <c r="B64" s="30" t="s">
        <v>39</v>
      </c>
      <c r="C64" s="130" t="s">
        <v>69</v>
      </c>
      <c r="D64" s="130"/>
      <c r="E64" s="130"/>
      <c r="F64" s="130"/>
      <c r="G64" s="130"/>
      <c r="H64" s="130"/>
      <c r="I64" s="130"/>
      <c r="J64" s="41">
        <v>3.44</v>
      </c>
      <c r="K64" s="42">
        <f>J64*K62%</f>
        <v>0</v>
      </c>
      <c r="L64" s="2"/>
      <c r="M64" s="39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>
      <c r="A65" s="2"/>
      <c r="B65" s="17" t="s">
        <v>41</v>
      </c>
      <c r="C65" s="145" t="s">
        <v>70</v>
      </c>
      <c r="D65" s="145"/>
      <c r="E65" s="145"/>
      <c r="F65" s="145"/>
      <c r="G65" s="145"/>
      <c r="H65" s="145"/>
      <c r="I65" s="145"/>
      <c r="J65" s="27">
        <v>1.94</v>
      </c>
      <c r="K65" s="22">
        <f>J65*$K$19%</f>
        <v>0</v>
      </c>
      <c r="L65" s="2"/>
      <c r="M65" s="39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>
      <c r="A66" s="2"/>
      <c r="B66" s="17" t="s">
        <v>43</v>
      </c>
      <c r="C66" s="130" t="s">
        <v>71</v>
      </c>
      <c r="D66" s="130"/>
      <c r="E66" s="130"/>
      <c r="F66" s="130"/>
      <c r="G66" s="130"/>
      <c r="H66" s="130"/>
      <c r="I66" s="130"/>
      <c r="J66" s="27">
        <v>0.72</v>
      </c>
      <c r="K66" s="22">
        <f>J66*$K$19%</f>
        <v>0</v>
      </c>
      <c r="L66" s="2"/>
      <c r="M66" s="39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>
      <c r="A67" s="2"/>
      <c r="B67" s="17" t="s">
        <v>45</v>
      </c>
      <c r="C67" s="130" t="s">
        <v>72</v>
      </c>
      <c r="D67" s="130"/>
      <c r="E67" s="130"/>
      <c r="F67" s="130"/>
      <c r="G67" s="130"/>
      <c r="H67" s="130"/>
      <c r="I67" s="130"/>
      <c r="J67" s="43">
        <v>6.2E-2</v>
      </c>
      <c r="K67" s="22">
        <f>J67*K65%</f>
        <v>0</v>
      </c>
      <c r="L67" s="2"/>
      <c r="M67" s="39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>
      <c r="A68" s="2"/>
      <c r="B68" s="131" t="s">
        <v>32</v>
      </c>
      <c r="C68" s="131"/>
      <c r="D68" s="131"/>
      <c r="E68" s="131"/>
      <c r="F68" s="131"/>
      <c r="G68" s="131"/>
      <c r="H68" s="131"/>
      <c r="I68" s="131"/>
      <c r="J68" s="131"/>
      <c r="K68" s="24">
        <f>SUM(K62:K67)</f>
        <v>0</v>
      </c>
      <c r="L68" s="2"/>
      <c r="M68" s="25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29.25" customHeight="1">
      <c r="A69" s="2"/>
      <c r="B69" s="136" t="s">
        <v>73</v>
      </c>
      <c r="C69" s="136"/>
      <c r="D69" s="136"/>
      <c r="E69" s="136"/>
      <c r="F69" s="136"/>
      <c r="G69" s="136"/>
      <c r="H69" s="136"/>
      <c r="I69" s="136"/>
      <c r="J69" s="136"/>
      <c r="K69" s="136"/>
      <c r="L69" s="2"/>
      <c r="M69" s="25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5.75" customHeight="1">
      <c r="A70" s="2"/>
      <c r="B70" s="137"/>
      <c r="C70" s="137"/>
      <c r="D70" s="137"/>
      <c r="E70" s="137"/>
      <c r="F70" s="137"/>
      <c r="G70" s="137"/>
      <c r="H70" s="137"/>
      <c r="I70" s="137"/>
      <c r="J70" s="137"/>
      <c r="K70" s="137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>
      <c r="A71" s="2"/>
      <c r="B71" s="134" t="s">
        <v>74</v>
      </c>
      <c r="C71" s="134"/>
      <c r="D71" s="134"/>
      <c r="E71" s="134"/>
      <c r="F71" s="134"/>
      <c r="G71" s="134"/>
      <c r="H71" s="134"/>
      <c r="I71" s="134"/>
      <c r="J71" s="134"/>
      <c r="K71" s="134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>
      <c r="A72" s="2"/>
      <c r="B72" s="23" t="s">
        <v>75</v>
      </c>
      <c r="C72" s="131" t="s">
        <v>76</v>
      </c>
      <c r="D72" s="131"/>
      <c r="E72" s="131"/>
      <c r="F72" s="131"/>
      <c r="G72" s="131"/>
      <c r="H72" s="131"/>
      <c r="I72" s="131"/>
      <c r="J72" s="23" t="s">
        <v>28</v>
      </c>
      <c r="K72" s="26" t="s">
        <v>77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>
      <c r="A73" s="2"/>
      <c r="B73" s="17" t="s">
        <v>17</v>
      </c>
      <c r="C73" s="130" t="s">
        <v>78</v>
      </c>
      <c r="D73" s="130"/>
      <c r="E73" s="130"/>
      <c r="F73" s="130"/>
      <c r="G73" s="130"/>
      <c r="H73" s="130"/>
      <c r="I73" s="130"/>
      <c r="J73" s="27">
        <v>0</v>
      </c>
      <c r="K73" s="12">
        <f t="shared" ref="K73:K78" si="1">J73*$K$19%</f>
        <v>0</v>
      </c>
      <c r="L73" s="2"/>
      <c r="M73" s="25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>
      <c r="A74" s="2"/>
      <c r="B74" s="17" t="s">
        <v>30</v>
      </c>
      <c r="C74" s="130" t="s">
        <v>79</v>
      </c>
      <c r="D74" s="130"/>
      <c r="E74" s="130"/>
      <c r="F74" s="130"/>
      <c r="G74" s="130"/>
      <c r="H74" s="130"/>
      <c r="I74" s="130"/>
      <c r="J74" s="17">
        <v>1.39</v>
      </c>
      <c r="K74" s="12">
        <f t="shared" si="1"/>
        <v>0</v>
      </c>
      <c r="L74" s="2"/>
      <c r="M74" s="25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>
      <c r="A75" s="2"/>
      <c r="B75" s="17" t="s">
        <v>39</v>
      </c>
      <c r="C75" s="130" t="s">
        <v>80</v>
      </c>
      <c r="D75" s="130"/>
      <c r="E75" s="130"/>
      <c r="F75" s="130"/>
      <c r="G75" s="130"/>
      <c r="H75" s="130"/>
      <c r="I75" s="130"/>
      <c r="J75" s="17">
        <v>0.28999999999999998</v>
      </c>
      <c r="K75" s="12">
        <f t="shared" si="1"/>
        <v>0</v>
      </c>
      <c r="L75" s="2"/>
      <c r="M75" s="25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>
      <c r="A76" s="2"/>
      <c r="B76" s="17" t="s">
        <v>41</v>
      </c>
      <c r="C76" s="130" t="s">
        <v>81</v>
      </c>
      <c r="D76" s="130"/>
      <c r="E76" s="130"/>
      <c r="F76" s="130"/>
      <c r="G76" s="130"/>
      <c r="H76" s="130"/>
      <c r="I76" s="130"/>
      <c r="J76" s="17">
        <v>0.02</v>
      </c>
      <c r="K76" s="12">
        <f t="shared" si="1"/>
        <v>0</v>
      </c>
      <c r="L76" s="2"/>
      <c r="M76" s="25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>
      <c r="A77" s="2"/>
      <c r="B77" s="17" t="s">
        <v>43</v>
      </c>
      <c r="C77" s="130" t="s">
        <v>82</v>
      </c>
      <c r="D77" s="130"/>
      <c r="E77" s="130"/>
      <c r="F77" s="130"/>
      <c r="G77" s="130"/>
      <c r="H77" s="130"/>
      <c r="I77" s="130"/>
      <c r="J77" s="17">
        <v>0.28000000000000003</v>
      </c>
      <c r="K77" s="12">
        <f t="shared" si="1"/>
        <v>0</v>
      </c>
      <c r="L77" s="2"/>
      <c r="M77" s="25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>
      <c r="A78" s="2"/>
      <c r="B78" s="17" t="s">
        <v>45</v>
      </c>
      <c r="C78" s="130" t="s">
        <v>83</v>
      </c>
      <c r="D78" s="130"/>
      <c r="E78" s="130"/>
      <c r="F78" s="130"/>
      <c r="G78" s="130"/>
      <c r="H78" s="130"/>
      <c r="I78" s="130"/>
      <c r="J78" s="17">
        <v>7.0000000000000007E-2</v>
      </c>
      <c r="K78" s="12">
        <f t="shared" si="1"/>
        <v>0</v>
      </c>
      <c r="L78" s="2"/>
      <c r="M78" s="25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>
      <c r="A79" s="2"/>
      <c r="B79" s="17"/>
      <c r="C79" s="130" t="s">
        <v>84</v>
      </c>
      <c r="D79" s="130"/>
      <c r="E79" s="130"/>
      <c r="F79" s="130"/>
      <c r="G79" s="130"/>
      <c r="H79" s="130"/>
      <c r="I79" s="130"/>
      <c r="J79" s="27">
        <f>SUM(J73:J78)</f>
        <v>2.0499999999999998</v>
      </c>
      <c r="K79" s="12">
        <f>SUM(K73:K78)</f>
        <v>0</v>
      </c>
      <c r="L79" s="2"/>
      <c r="M79" s="25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>
      <c r="A80" s="2"/>
      <c r="B80" s="17" t="s">
        <v>47</v>
      </c>
      <c r="C80" s="130" t="s">
        <v>85</v>
      </c>
      <c r="D80" s="130"/>
      <c r="E80" s="130"/>
      <c r="F80" s="130"/>
      <c r="G80" s="130"/>
      <c r="H80" s="130"/>
      <c r="I80" s="130"/>
      <c r="J80" s="17">
        <v>1.96</v>
      </c>
      <c r="K80" s="12">
        <f>J80*$K$19%</f>
        <v>0</v>
      </c>
      <c r="L80" s="2"/>
      <c r="M80" s="25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>
      <c r="A81" s="2"/>
      <c r="B81" s="17"/>
      <c r="C81" s="130" t="s">
        <v>86</v>
      </c>
      <c r="D81" s="130"/>
      <c r="E81" s="130"/>
      <c r="F81" s="130"/>
      <c r="G81" s="130"/>
      <c r="H81" s="130"/>
      <c r="I81" s="130"/>
      <c r="J81" s="27">
        <f>J79+J80</f>
        <v>4.01</v>
      </c>
      <c r="K81" s="12">
        <f>K79+K80</f>
        <v>0</v>
      </c>
      <c r="L81" s="2"/>
      <c r="M81" s="25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>
      <c r="A82" s="2"/>
      <c r="B82" s="17" t="s">
        <v>49</v>
      </c>
      <c r="C82" s="130" t="s">
        <v>87</v>
      </c>
      <c r="D82" s="130"/>
      <c r="E82" s="130"/>
      <c r="F82" s="130"/>
      <c r="G82" s="130"/>
      <c r="H82" s="130"/>
      <c r="I82" s="130"/>
      <c r="J82" s="17">
        <v>4.4800000000000004</v>
      </c>
      <c r="K82" s="12">
        <f>J82*$K$19%</f>
        <v>0</v>
      </c>
      <c r="L82" s="2"/>
      <c r="M82" s="25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>
      <c r="A83" s="2"/>
      <c r="B83" s="44"/>
      <c r="C83" s="131" t="s">
        <v>32</v>
      </c>
      <c r="D83" s="131"/>
      <c r="E83" s="131"/>
      <c r="F83" s="131"/>
      <c r="G83" s="131"/>
      <c r="H83" s="131"/>
      <c r="I83" s="131"/>
      <c r="J83" s="45">
        <f>J81+J82</f>
        <v>8.49</v>
      </c>
      <c r="K83" s="24">
        <f>K81+K82</f>
        <v>0</v>
      </c>
      <c r="L83" s="33"/>
      <c r="M83" s="33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>
      <c r="A84" s="2"/>
      <c r="B84" s="136" t="s">
        <v>33</v>
      </c>
      <c r="C84" s="136"/>
      <c r="D84" s="136"/>
      <c r="E84" s="136"/>
      <c r="F84" s="136"/>
      <c r="G84" s="136"/>
      <c r="H84" s="136"/>
      <c r="I84" s="136"/>
      <c r="J84" s="136"/>
      <c r="K84" s="136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>
      <c r="A85" s="2"/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>
      <c r="A86" s="2"/>
      <c r="B86" s="134" t="s">
        <v>88</v>
      </c>
      <c r="C86" s="134"/>
      <c r="D86" s="134"/>
      <c r="E86" s="134"/>
      <c r="F86" s="134"/>
      <c r="G86" s="134"/>
      <c r="H86" s="134"/>
      <c r="I86" s="134"/>
      <c r="J86" s="134"/>
      <c r="K86" s="134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>
      <c r="A87" s="2"/>
      <c r="B87" s="17"/>
      <c r="C87" s="131" t="s">
        <v>89</v>
      </c>
      <c r="D87" s="131"/>
      <c r="E87" s="131"/>
      <c r="F87" s="131"/>
      <c r="G87" s="131"/>
      <c r="H87" s="131"/>
      <c r="I87" s="131"/>
      <c r="J87" s="131"/>
      <c r="K87" s="23" t="s">
        <v>16</v>
      </c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>
      <c r="A88" s="2"/>
      <c r="B88" s="17" t="s">
        <v>17</v>
      </c>
      <c r="C88" s="130" t="s">
        <v>14</v>
      </c>
      <c r="D88" s="130"/>
      <c r="E88" s="130"/>
      <c r="F88" s="130"/>
      <c r="G88" s="130"/>
      <c r="H88" s="130"/>
      <c r="I88" s="130"/>
      <c r="J88" s="130"/>
      <c r="K88" s="12">
        <f>K19</f>
        <v>0</v>
      </c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>
      <c r="A89" s="2"/>
      <c r="B89" s="17" t="s">
        <v>30</v>
      </c>
      <c r="C89" s="130" t="s">
        <v>24</v>
      </c>
      <c r="D89" s="130"/>
      <c r="E89" s="130"/>
      <c r="F89" s="130"/>
      <c r="G89" s="130"/>
      <c r="H89" s="130"/>
      <c r="I89" s="130"/>
      <c r="J89" s="130"/>
      <c r="K89" s="12">
        <f>K58</f>
        <v>0</v>
      </c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>
      <c r="A90" s="2"/>
      <c r="B90" s="17" t="s">
        <v>39</v>
      </c>
      <c r="C90" s="130" t="s">
        <v>90</v>
      </c>
      <c r="D90" s="130"/>
      <c r="E90" s="130"/>
      <c r="F90" s="130"/>
      <c r="G90" s="130"/>
      <c r="H90" s="130"/>
      <c r="I90" s="130"/>
      <c r="J90" s="130"/>
      <c r="K90" s="12">
        <f>K68</f>
        <v>0</v>
      </c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>
      <c r="A91" s="2"/>
      <c r="B91" s="17" t="s">
        <v>41</v>
      </c>
      <c r="C91" s="130" t="s">
        <v>74</v>
      </c>
      <c r="D91" s="130"/>
      <c r="E91" s="130"/>
      <c r="F91" s="130"/>
      <c r="G91" s="130"/>
      <c r="H91" s="130"/>
      <c r="I91" s="130"/>
      <c r="J91" s="130"/>
      <c r="K91" s="12">
        <f>K83</f>
        <v>0</v>
      </c>
      <c r="L91" s="2"/>
      <c r="M91" s="2"/>
      <c r="N91" s="2"/>
      <c r="O91" s="2"/>
      <c r="P91" s="46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2.75" customHeight="1">
      <c r="A92" s="2"/>
      <c r="B92" s="47"/>
      <c r="C92" s="135" t="s">
        <v>91</v>
      </c>
      <c r="D92" s="135"/>
      <c r="E92" s="135"/>
      <c r="F92" s="135"/>
      <c r="G92" s="135"/>
      <c r="H92" s="135"/>
      <c r="I92" s="135"/>
      <c r="J92" s="135"/>
      <c r="K92" s="48">
        <f>SUM(K88:K91)</f>
        <v>0</v>
      </c>
      <c r="L92" s="49"/>
      <c r="M92" s="49"/>
      <c r="N92" s="49"/>
      <c r="O92" s="49"/>
      <c r="P92" s="46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23.25" customHeight="1">
      <c r="A93" s="2"/>
      <c r="B93" s="146"/>
      <c r="C93" s="146"/>
      <c r="D93" s="146"/>
      <c r="E93" s="146"/>
      <c r="F93" s="146"/>
      <c r="G93" s="146"/>
      <c r="H93" s="146"/>
      <c r="I93" s="146"/>
      <c r="J93" s="146"/>
      <c r="K93" s="146"/>
      <c r="L93" s="46"/>
      <c r="M93" s="46"/>
      <c r="N93" s="46"/>
      <c r="O93" s="46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7.25" customHeight="1">
      <c r="A94" s="2"/>
      <c r="B94" s="122" t="s">
        <v>92</v>
      </c>
      <c r="C94" s="122"/>
      <c r="D94" s="122"/>
      <c r="E94" s="122"/>
      <c r="F94" s="122"/>
      <c r="G94" s="122"/>
      <c r="H94" s="122"/>
      <c r="I94" s="122"/>
      <c r="J94" s="122"/>
      <c r="K94" s="12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75" customHeight="1">
      <c r="A95" s="2"/>
      <c r="B95" s="50" t="s">
        <v>17</v>
      </c>
      <c r="C95" s="147" t="s">
        <v>93</v>
      </c>
      <c r="D95" s="147"/>
      <c r="E95" s="5" t="s">
        <v>94</v>
      </c>
      <c r="F95" s="51" t="s">
        <v>95</v>
      </c>
      <c r="G95" s="51"/>
      <c r="H95" s="5" t="s">
        <v>96</v>
      </c>
      <c r="I95" s="127" t="s">
        <v>97</v>
      </c>
      <c r="J95" s="127"/>
      <c r="K95" s="18" t="s">
        <v>98</v>
      </c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24.75" customHeight="1">
      <c r="A96" s="2"/>
      <c r="B96" s="20" t="s">
        <v>21</v>
      </c>
      <c r="C96" s="130" t="s">
        <v>99</v>
      </c>
      <c r="D96" s="130"/>
      <c r="E96" s="52">
        <v>0</v>
      </c>
      <c r="F96" s="53" t="s">
        <v>100</v>
      </c>
      <c r="G96" s="53"/>
      <c r="H96" s="117"/>
      <c r="I96" s="148"/>
      <c r="J96" s="148"/>
      <c r="K96" s="22">
        <f>(E96*H96)*L9</f>
        <v>0</v>
      </c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2.75" customHeight="1">
      <c r="A97" s="2"/>
      <c r="B97" s="20" t="s">
        <v>22</v>
      </c>
      <c r="C97" s="130" t="s">
        <v>101</v>
      </c>
      <c r="D97" s="130"/>
      <c r="E97" s="52">
        <f>1/12</f>
        <v>8.3333333333333329E-2</v>
      </c>
      <c r="F97" s="53" t="s">
        <v>100</v>
      </c>
      <c r="G97" s="53"/>
      <c r="H97" s="117"/>
      <c r="I97" s="148"/>
      <c r="J97" s="148"/>
      <c r="K97" s="22">
        <f>(E97*H97)*L9</f>
        <v>0</v>
      </c>
      <c r="L97" s="54"/>
      <c r="M97" s="2"/>
      <c r="N97" s="55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2.75" customHeight="1">
      <c r="A98" s="2"/>
      <c r="B98" s="20" t="s">
        <v>102</v>
      </c>
      <c r="C98" s="130" t="s">
        <v>103</v>
      </c>
      <c r="D98" s="130"/>
      <c r="E98" s="52">
        <f>1/6</f>
        <v>0.16666666666666666</v>
      </c>
      <c r="F98" s="53" t="s">
        <v>100</v>
      </c>
      <c r="G98" s="53"/>
      <c r="H98" s="117"/>
      <c r="I98" s="148"/>
      <c r="J98" s="148"/>
      <c r="K98" s="22">
        <f>(E98*H98)*L9</f>
        <v>0</v>
      </c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2.75" customHeight="1">
      <c r="A99" s="2"/>
      <c r="B99" s="20" t="s">
        <v>104</v>
      </c>
      <c r="C99" s="130" t="s">
        <v>105</v>
      </c>
      <c r="D99" s="130"/>
      <c r="E99" s="52">
        <f>1/12</f>
        <v>8.3333333333333329E-2</v>
      </c>
      <c r="F99" s="53" t="s">
        <v>100</v>
      </c>
      <c r="G99" s="53"/>
      <c r="H99" s="117"/>
      <c r="I99" s="148"/>
      <c r="J99" s="148"/>
      <c r="K99" s="22">
        <f>(E99*H99)*L9</f>
        <v>0</v>
      </c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75" customHeight="1">
      <c r="A100" s="2"/>
      <c r="B100" s="20"/>
      <c r="C100" s="129" t="s">
        <v>32</v>
      </c>
      <c r="D100" s="129"/>
      <c r="E100" s="129"/>
      <c r="F100" s="129"/>
      <c r="G100" s="129"/>
      <c r="H100" s="129"/>
      <c r="I100" s="129"/>
      <c r="J100" s="129"/>
      <c r="K100" s="24">
        <f>SUM(K96:K99)</f>
        <v>0</v>
      </c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75" customHeight="1">
      <c r="A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75" customHeight="1">
      <c r="A102" s="2"/>
      <c r="B102" s="50" t="s">
        <v>30</v>
      </c>
      <c r="C102" s="149" t="s">
        <v>106</v>
      </c>
      <c r="D102" s="149"/>
      <c r="E102" s="5" t="s">
        <v>107</v>
      </c>
      <c r="F102" s="56" t="s">
        <v>108</v>
      </c>
      <c r="G102" s="56"/>
      <c r="H102" s="5" t="s">
        <v>109</v>
      </c>
      <c r="I102" s="134" t="s">
        <v>110</v>
      </c>
      <c r="J102" s="134"/>
      <c r="K102" s="150" t="s">
        <v>98</v>
      </c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75" customHeight="1">
      <c r="A103" s="2"/>
      <c r="B103" s="57"/>
      <c r="C103" s="17" t="s">
        <v>111</v>
      </c>
      <c r="D103" s="17" t="s">
        <v>112</v>
      </c>
      <c r="E103" s="118"/>
      <c r="F103" s="119">
        <v>0.15</v>
      </c>
      <c r="G103" s="119"/>
      <c r="H103" s="120" t="s">
        <v>113</v>
      </c>
      <c r="I103" s="134"/>
      <c r="J103" s="134"/>
      <c r="K103" s="150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75" customHeight="1">
      <c r="A104" s="3">
        <v>2024</v>
      </c>
      <c r="B104" s="20" t="s">
        <v>60</v>
      </c>
      <c r="C104" s="57" t="s">
        <v>114</v>
      </c>
      <c r="D104" s="58">
        <f>(1-F103)*((10-0)/(1+2+3+4+5+6+7+8+9+10))</f>
        <v>0.15454545454545454</v>
      </c>
      <c r="E104" s="59">
        <v>326731</v>
      </c>
      <c r="F104" s="60">
        <f t="shared" ref="F104:F114" si="2">E104*$F$103</f>
        <v>49009.65</v>
      </c>
      <c r="G104" s="60"/>
      <c r="H104" s="60">
        <f t="shared" ref="H104:H114" si="3">(E104-F104)</f>
        <v>277721.34999999998</v>
      </c>
      <c r="I104" s="151"/>
      <c r="J104" s="151"/>
      <c r="K104" s="24">
        <f t="shared" ref="K104:K114" si="4">((H104*D104)*I104)/12</f>
        <v>0</v>
      </c>
      <c r="L104" s="61"/>
      <c r="M104" s="2"/>
      <c r="N104" s="3"/>
      <c r="O104" s="3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75" customHeight="1">
      <c r="A105" s="3">
        <v>2023</v>
      </c>
      <c r="B105" s="20" t="s">
        <v>61</v>
      </c>
      <c r="C105" s="57" t="s">
        <v>115</v>
      </c>
      <c r="D105" s="58">
        <f>(1-0.15)*((10-1)/(1+2+3+4+5+6+7+8+9+10))</f>
        <v>0.1390909090909091</v>
      </c>
      <c r="E105" s="59">
        <v>301516</v>
      </c>
      <c r="F105" s="60">
        <f t="shared" si="2"/>
        <v>45227.4</v>
      </c>
      <c r="G105" s="60"/>
      <c r="H105" s="60">
        <f t="shared" si="3"/>
        <v>256288.6</v>
      </c>
      <c r="I105" s="151"/>
      <c r="J105" s="151"/>
      <c r="K105" s="24">
        <f t="shared" si="4"/>
        <v>0</v>
      </c>
      <c r="L105" s="61"/>
      <c r="M105" s="2"/>
      <c r="N105" s="3"/>
      <c r="O105" s="3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75" customHeight="1">
      <c r="A106" s="3">
        <v>2022</v>
      </c>
      <c r="B106" s="20" t="s">
        <v>116</v>
      </c>
      <c r="C106" s="57" t="s">
        <v>117</v>
      </c>
      <c r="D106" s="58">
        <f>(1-0.15)*((10-2)/(1+2+3+4+5+6+7+8+9+10))</f>
        <v>0.12363636363636363</v>
      </c>
      <c r="E106" s="59">
        <v>292765</v>
      </c>
      <c r="F106" s="60">
        <f t="shared" si="2"/>
        <v>43914.75</v>
      </c>
      <c r="G106" s="60"/>
      <c r="H106" s="60">
        <f t="shared" si="3"/>
        <v>248850.25</v>
      </c>
      <c r="I106" s="151"/>
      <c r="J106" s="151"/>
      <c r="K106" s="24">
        <f t="shared" si="4"/>
        <v>0</v>
      </c>
      <c r="L106" s="61"/>
      <c r="M106" s="2"/>
      <c r="N106" s="3"/>
      <c r="O106" s="3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75" customHeight="1">
      <c r="A107" s="3">
        <v>2021</v>
      </c>
      <c r="B107" s="20" t="s">
        <v>118</v>
      </c>
      <c r="C107" s="57" t="s">
        <v>119</v>
      </c>
      <c r="D107" s="58">
        <f>(1-0.15)*((10-3)/(1+2+3+4+5+6+7+8+9+10))</f>
        <v>0.10818181818181817</v>
      </c>
      <c r="E107" s="59">
        <v>273916</v>
      </c>
      <c r="F107" s="60">
        <f t="shared" si="2"/>
        <v>41087.4</v>
      </c>
      <c r="G107" s="60"/>
      <c r="H107" s="60">
        <f t="shared" si="3"/>
        <v>232828.6</v>
      </c>
      <c r="I107" s="151"/>
      <c r="J107" s="151"/>
      <c r="K107" s="24">
        <f t="shared" si="4"/>
        <v>0</v>
      </c>
      <c r="L107" s="61"/>
      <c r="M107" s="2"/>
      <c r="N107" s="3"/>
      <c r="O107" s="3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75" customHeight="1">
      <c r="A108" s="3">
        <v>2020</v>
      </c>
      <c r="B108" s="20" t="s">
        <v>120</v>
      </c>
      <c r="C108" s="57" t="s">
        <v>121</v>
      </c>
      <c r="D108" s="58">
        <f>(1-0.15)*((10-4)/(1+2+3+4+5+6+7+8+9+10))</f>
        <v>9.2727272727272714E-2</v>
      </c>
      <c r="E108" s="59">
        <v>262876</v>
      </c>
      <c r="F108" s="60">
        <f t="shared" si="2"/>
        <v>39431.4</v>
      </c>
      <c r="G108" s="60"/>
      <c r="H108" s="60">
        <f t="shared" si="3"/>
        <v>223444.6</v>
      </c>
      <c r="I108" s="151"/>
      <c r="J108" s="151"/>
      <c r="K108" s="24">
        <f t="shared" si="4"/>
        <v>0</v>
      </c>
      <c r="L108" s="61"/>
      <c r="M108" s="2"/>
      <c r="N108" s="3"/>
      <c r="O108" s="3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75" customHeight="1">
      <c r="A109" s="3">
        <v>2019</v>
      </c>
      <c r="B109" s="20" t="s">
        <v>122</v>
      </c>
      <c r="C109" s="57" t="s">
        <v>123</v>
      </c>
      <c r="D109" s="58">
        <f>(1-0.15)*((10-5)/(1+2+3+4+5+6+7+8+9+10))</f>
        <v>7.7272727272727271E-2</v>
      </c>
      <c r="E109" s="59">
        <v>196905</v>
      </c>
      <c r="F109" s="60">
        <f t="shared" si="2"/>
        <v>29535.75</v>
      </c>
      <c r="G109" s="60"/>
      <c r="H109" s="60">
        <f t="shared" si="3"/>
        <v>167369.25</v>
      </c>
      <c r="I109" s="151"/>
      <c r="J109" s="151"/>
      <c r="K109" s="24">
        <f t="shared" si="4"/>
        <v>0</v>
      </c>
      <c r="L109" s="61"/>
      <c r="M109" s="2"/>
      <c r="N109" s="3"/>
      <c r="O109" s="3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75" customHeight="1">
      <c r="A110" s="3">
        <v>2018</v>
      </c>
      <c r="B110" s="20" t="s">
        <v>124</v>
      </c>
      <c r="C110" s="57" t="s">
        <v>125</v>
      </c>
      <c r="D110" s="58">
        <f>(1-0.15)*((10-6)/(1+2+3+4+5+6+7+8+9+10))</f>
        <v>6.1818181818181814E-2</v>
      </c>
      <c r="E110" s="59">
        <v>175359</v>
      </c>
      <c r="F110" s="60">
        <f t="shared" si="2"/>
        <v>26303.85</v>
      </c>
      <c r="G110" s="60"/>
      <c r="H110" s="60">
        <f t="shared" si="3"/>
        <v>149055.15</v>
      </c>
      <c r="I110" s="151"/>
      <c r="J110" s="151"/>
      <c r="K110" s="24">
        <f t="shared" si="4"/>
        <v>0</v>
      </c>
      <c r="L110" s="61"/>
      <c r="M110" s="2"/>
      <c r="N110" s="3"/>
      <c r="O110" s="3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75" customHeight="1">
      <c r="A111" s="3">
        <v>2017</v>
      </c>
      <c r="B111" s="20" t="s">
        <v>126</v>
      </c>
      <c r="C111" s="57" t="s">
        <v>127</v>
      </c>
      <c r="D111" s="58">
        <f>(1-0.15)*((10-7)/(1+2+3+4+5+6+7+8+9+10))</f>
        <v>4.6363636363636357E-2</v>
      </c>
      <c r="E111" s="59">
        <v>165684</v>
      </c>
      <c r="F111" s="60">
        <f t="shared" si="2"/>
        <v>24852.6</v>
      </c>
      <c r="G111" s="60"/>
      <c r="H111" s="60">
        <f t="shared" si="3"/>
        <v>140831.4</v>
      </c>
      <c r="I111" s="151"/>
      <c r="J111" s="151"/>
      <c r="K111" s="24">
        <f t="shared" si="4"/>
        <v>0</v>
      </c>
      <c r="L111" s="61"/>
      <c r="M111" s="2"/>
      <c r="N111" s="3"/>
      <c r="O111" s="3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75" customHeight="1">
      <c r="A112" s="3">
        <v>2016</v>
      </c>
      <c r="B112" s="20" t="s">
        <v>128</v>
      </c>
      <c r="C112" s="57" t="s">
        <v>129</v>
      </c>
      <c r="D112" s="58">
        <f>(1-0.15)*((10-8)/(1+2+3+4+5+6+7+8+9+10))</f>
        <v>3.0909090909090907E-2</v>
      </c>
      <c r="E112" s="59">
        <v>144472</v>
      </c>
      <c r="F112" s="60">
        <f t="shared" si="2"/>
        <v>21670.799999999999</v>
      </c>
      <c r="G112" s="60"/>
      <c r="H112" s="60">
        <f t="shared" si="3"/>
        <v>122801.2</v>
      </c>
      <c r="I112" s="151"/>
      <c r="J112" s="151"/>
      <c r="K112" s="24">
        <f t="shared" si="4"/>
        <v>0</v>
      </c>
      <c r="L112" s="61"/>
      <c r="M112" s="2"/>
      <c r="N112" s="3"/>
      <c r="O112" s="3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75" customHeight="1">
      <c r="A113" s="3">
        <v>2015</v>
      </c>
      <c r="B113" s="20" t="s">
        <v>130</v>
      </c>
      <c r="C113" s="57" t="s">
        <v>131</v>
      </c>
      <c r="D113" s="58">
        <f>(1-0.15)*((10-9)/(1+2+3+4+5+6+7+8+9+10))</f>
        <v>1.5454545454545453E-2</v>
      </c>
      <c r="E113" s="59">
        <v>133384</v>
      </c>
      <c r="F113" s="60">
        <f t="shared" si="2"/>
        <v>20007.599999999999</v>
      </c>
      <c r="G113" s="60"/>
      <c r="H113" s="60">
        <f t="shared" si="3"/>
        <v>113376.4</v>
      </c>
      <c r="I113" s="151"/>
      <c r="J113" s="151"/>
      <c r="K113" s="24">
        <f t="shared" si="4"/>
        <v>0</v>
      </c>
      <c r="L113" s="61"/>
      <c r="M113" s="2"/>
      <c r="N113" s="3"/>
      <c r="O113" s="3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75" customHeight="1">
      <c r="A114" s="3">
        <v>2014</v>
      </c>
      <c r="B114" s="20" t="s">
        <v>132</v>
      </c>
      <c r="C114" s="57" t="s">
        <v>133</v>
      </c>
      <c r="D114" s="58">
        <f>(1-0.15)*((10-10)/(1+2+3+4+5+6+7+8+9+10))</f>
        <v>0</v>
      </c>
      <c r="E114" s="59">
        <v>124409</v>
      </c>
      <c r="F114" s="60">
        <f t="shared" si="2"/>
        <v>18661.349999999999</v>
      </c>
      <c r="G114" s="60"/>
      <c r="H114" s="60">
        <f t="shared" si="3"/>
        <v>105747.65</v>
      </c>
      <c r="I114" s="151"/>
      <c r="J114" s="151"/>
      <c r="K114" s="24">
        <f t="shared" si="4"/>
        <v>0</v>
      </c>
      <c r="L114" s="61"/>
      <c r="M114" s="2"/>
      <c r="N114" s="3"/>
      <c r="O114" s="3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5" customHeight="1">
      <c r="A115" s="2"/>
      <c r="B115" s="17"/>
      <c r="C115" s="129" t="s">
        <v>32</v>
      </c>
      <c r="D115" s="129"/>
      <c r="E115" s="129"/>
      <c r="F115" s="129"/>
      <c r="G115" s="129"/>
      <c r="H115" s="129"/>
      <c r="I115" s="129"/>
      <c r="J115" s="129"/>
      <c r="K115" s="24">
        <f>SUM(K104:K114)</f>
        <v>0</v>
      </c>
      <c r="L115" s="61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75" customHeight="1">
      <c r="A116" s="2"/>
      <c r="B116" s="136" t="s">
        <v>134</v>
      </c>
      <c r="C116" s="136"/>
      <c r="D116" s="136"/>
      <c r="E116" s="136"/>
      <c r="F116" s="136"/>
      <c r="G116" s="136"/>
      <c r="H116" s="136"/>
      <c r="I116" s="136"/>
      <c r="J116" s="136"/>
      <c r="K116" s="136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5" customHeight="1">
      <c r="A117" s="16"/>
      <c r="L117" s="2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</row>
    <row r="118" spans="1:27" ht="15" customHeight="1">
      <c r="A118" s="16"/>
      <c r="B118" s="50" t="s">
        <v>39</v>
      </c>
      <c r="C118" s="149" t="s">
        <v>135</v>
      </c>
      <c r="D118" s="149"/>
      <c r="E118" s="5" t="s">
        <v>107</v>
      </c>
      <c r="F118" s="152" t="s">
        <v>136</v>
      </c>
      <c r="G118" s="152"/>
      <c r="H118" s="152"/>
      <c r="I118" s="127" t="s">
        <v>97</v>
      </c>
      <c r="J118" s="127"/>
      <c r="K118" s="18" t="s">
        <v>98</v>
      </c>
      <c r="L118" s="2"/>
      <c r="M118" s="2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</row>
    <row r="119" spans="1:27" ht="15" customHeight="1">
      <c r="A119" s="16"/>
      <c r="B119" s="57"/>
      <c r="C119" s="17" t="s">
        <v>111</v>
      </c>
      <c r="D119" s="17"/>
      <c r="E119" s="118"/>
      <c r="F119" s="153">
        <v>0.105</v>
      </c>
      <c r="G119" s="153"/>
      <c r="H119" s="153"/>
      <c r="I119" s="154" t="s">
        <v>137</v>
      </c>
      <c r="J119" s="154"/>
      <c r="K119" s="22"/>
      <c r="L119" s="62"/>
      <c r="M119" s="63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</row>
    <row r="120" spans="1:27" ht="15" customHeight="1">
      <c r="A120" s="16"/>
      <c r="B120" s="20" t="s">
        <v>138</v>
      </c>
      <c r="C120" s="57" t="s">
        <v>114</v>
      </c>
      <c r="D120" s="58">
        <f>F119</f>
        <v>0.105</v>
      </c>
      <c r="E120" s="60">
        <f t="shared" ref="E120:E130" si="5">E104</f>
        <v>326731</v>
      </c>
      <c r="F120" s="155">
        <f t="shared" ref="F120:F130" si="6">I104</f>
        <v>0</v>
      </c>
      <c r="G120" s="155"/>
      <c r="H120" s="155"/>
      <c r="I120" s="155"/>
      <c r="J120" s="155"/>
      <c r="K120" s="24">
        <f t="shared" ref="K120:K130" si="7">(D120*E120*F120)/12</f>
        <v>0</v>
      </c>
      <c r="L120" s="62"/>
      <c r="M120" s="2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</row>
    <row r="121" spans="1:27" ht="15" customHeight="1">
      <c r="A121" s="16"/>
      <c r="B121" s="20" t="s">
        <v>139</v>
      </c>
      <c r="C121" s="57" t="s">
        <v>115</v>
      </c>
      <c r="D121" s="58">
        <f>($F$119)*(1-D104)</f>
        <v>8.8772727272727267E-2</v>
      </c>
      <c r="E121" s="60">
        <f t="shared" si="5"/>
        <v>301516</v>
      </c>
      <c r="F121" s="155">
        <f t="shared" si="6"/>
        <v>0</v>
      </c>
      <c r="G121" s="155"/>
      <c r="H121" s="155"/>
      <c r="I121" s="155"/>
      <c r="J121" s="155"/>
      <c r="K121" s="24">
        <f t="shared" si="7"/>
        <v>0</v>
      </c>
      <c r="L121" s="64"/>
      <c r="M121" s="2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</row>
    <row r="122" spans="1:27" ht="15" customHeight="1">
      <c r="A122" s="16"/>
      <c r="B122" s="20" t="s">
        <v>140</v>
      </c>
      <c r="C122" s="57" t="s">
        <v>117</v>
      </c>
      <c r="D122" s="58">
        <f>($F$119)*(1-(D104+D105))</f>
        <v>7.4168181818181814E-2</v>
      </c>
      <c r="E122" s="60">
        <f t="shared" si="5"/>
        <v>292765</v>
      </c>
      <c r="F122" s="155">
        <f t="shared" si="6"/>
        <v>0</v>
      </c>
      <c r="G122" s="155"/>
      <c r="H122" s="155"/>
      <c r="I122" s="155"/>
      <c r="J122" s="155"/>
      <c r="K122" s="24">
        <f t="shared" si="7"/>
        <v>0</v>
      </c>
      <c r="L122" s="61"/>
      <c r="M122" s="2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</row>
    <row r="123" spans="1:27" ht="15" customHeight="1">
      <c r="A123" s="16"/>
      <c r="B123" s="20" t="s">
        <v>141</v>
      </c>
      <c r="C123" s="57" t="s">
        <v>119</v>
      </c>
      <c r="D123" s="58">
        <f>($F$119)*(1-(D104+D105+D106))</f>
        <v>6.1186363636363636E-2</v>
      </c>
      <c r="E123" s="60">
        <f t="shared" si="5"/>
        <v>273916</v>
      </c>
      <c r="F123" s="155">
        <f t="shared" si="6"/>
        <v>0</v>
      </c>
      <c r="G123" s="155"/>
      <c r="H123" s="155"/>
      <c r="I123" s="155"/>
      <c r="J123" s="155"/>
      <c r="K123" s="24">
        <f t="shared" si="7"/>
        <v>0</v>
      </c>
      <c r="L123" s="61"/>
      <c r="M123" s="2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</row>
    <row r="124" spans="1:27" ht="15" customHeight="1">
      <c r="A124" s="16"/>
      <c r="B124" s="20" t="s">
        <v>142</v>
      </c>
      <c r="C124" s="57" t="s">
        <v>121</v>
      </c>
      <c r="D124" s="58">
        <f>($F$119)*(1-(D104+D105+D106+D107))</f>
        <v>4.9827272727272734E-2</v>
      </c>
      <c r="E124" s="60">
        <f t="shared" si="5"/>
        <v>262876</v>
      </c>
      <c r="F124" s="155">
        <f t="shared" si="6"/>
        <v>0</v>
      </c>
      <c r="G124" s="155"/>
      <c r="H124" s="155"/>
      <c r="I124" s="155"/>
      <c r="J124" s="155"/>
      <c r="K124" s="24">
        <f t="shared" si="7"/>
        <v>0</v>
      </c>
      <c r="L124" s="61"/>
      <c r="M124" s="2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</row>
    <row r="125" spans="1:27" ht="15" customHeight="1">
      <c r="A125" s="16"/>
      <c r="B125" s="20" t="s">
        <v>143</v>
      </c>
      <c r="C125" s="57" t="s">
        <v>123</v>
      </c>
      <c r="D125" s="58">
        <f>($F$119)*(1-(D104+D105+D106+D107+D108))</f>
        <v>4.0090909090909094E-2</v>
      </c>
      <c r="E125" s="60">
        <f t="shared" si="5"/>
        <v>196905</v>
      </c>
      <c r="F125" s="155">
        <f t="shared" si="6"/>
        <v>0</v>
      </c>
      <c r="G125" s="155"/>
      <c r="H125" s="155"/>
      <c r="I125" s="155"/>
      <c r="J125" s="155"/>
      <c r="K125" s="24">
        <f t="shared" si="7"/>
        <v>0</v>
      </c>
      <c r="L125" s="61"/>
      <c r="M125" s="2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</row>
    <row r="126" spans="1:27" ht="15" customHeight="1">
      <c r="A126" s="16"/>
      <c r="B126" s="20" t="s">
        <v>144</v>
      </c>
      <c r="C126" s="57" t="s">
        <v>125</v>
      </c>
      <c r="D126" s="58">
        <f>($F$119)*(1-(D104+D105+D106+D107+D108+D109))</f>
        <v>3.1977272727272729E-2</v>
      </c>
      <c r="E126" s="60">
        <f t="shared" si="5"/>
        <v>175359</v>
      </c>
      <c r="F126" s="155">
        <f t="shared" si="6"/>
        <v>0</v>
      </c>
      <c r="G126" s="155"/>
      <c r="H126" s="155"/>
      <c r="I126" s="155"/>
      <c r="J126" s="155"/>
      <c r="K126" s="24">
        <f t="shared" si="7"/>
        <v>0</v>
      </c>
      <c r="L126" s="61"/>
      <c r="M126" s="2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</row>
    <row r="127" spans="1:27" ht="15" customHeight="1">
      <c r="A127" s="16"/>
      <c r="B127" s="20" t="s">
        <v>145</v>
      </c>
      <c r="C127" s="57" t="s">
        <v>127</v>
      </c>
      <c r="D127" s="58">
        <f>($F$119)*(1-(D104+D105+D106+D107+D108+D109+D110))</f>
        <v>2.5486363636363644E-2</v>
      </c>
      <c r="E127" s="60">
        <f t="shared" si="5"/>
        <v>165684</v>
      </c>
      <c r="F127" s="155">
        <f t="shared" si="6"/>
        <v>0</v>
      </c>
      <c r="G127" s="155"/>
      <c r="H127" s="155"/>
      <c r="I127" s="155"/>
      <c r="J127" s="155"/>
      <c r="K127" s="24">
        <f t="shared" si="7"/>
        <v>0</v>
      </c>
      <c r="L127" s="61"/>
      <c r="M127" s="2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</row>
    <row r="128" spans="1:27" ht="15" customHeight="1">
      <c r="A128" s="16"/>
      <c r="B128" s="20" t="s">
        <v>146</v>
      </c>
      <c r="C128" s="57" t="s">
        <v>129</v>
      </c>
      <c r="D128" s="58">
        <f>($F$119)*(1-(D104+D105+D106+D107+D108+D109+D110+D111))</f>
        <v>2.061818181818182E-2</v>
      </c>
      <c r="E128" s="60">
        <f t="shared" si="5"/>
        <v>144472</v>
      </c>
      <c r="F128" s="155">
        <f t="shared" si="6"/>
        <v>0</v>
      </c>
      <c r="G128" s="155"/>
      <c r="H128" s="155"/>
      <c r="I128" s="155"/>
      <c r="J128" s="155"/>
      <c r="K128" s="24">
        <f t="shared" si="7"/>
        <v>0</v>
      </c>
      <c r="L128" s="61"/>
      <c r="M128" s="2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</row>
    <row r="129" spans="1:27" ht="15" customHeight="1">
      <c r="A129" s="16"/>
      <c r="B129" s="20" t="s">
        <v>147</v>
      </c>
      <c r="C129" s="57" t="s">
        <v>131</v>
      </c>
      <c r="D129" s="58">
        <f>($F$119)*(1-(D104+D105+D106+D107+D108+D109+D110+D111+D112))</f>
        <v>1.7372727272727279E-2</v>
      </c>
      <c r="E129" s="60">
        <f t="shared" si="5"/>
        <v>133384</v>
      </c>
      <c r="F129" s="155">
        <f t="shared" si="6"/>
        <v>0</v>
      </c>
      <c r="G129" s="155"/>
      <c r="H129" s="155"/>
      <c r="I129" s="155"/>
      <c r="J129" s="155"/>
      <c r="K129" s="24">
        <f t="shared" si="7"/>
        <v>0</v>
      </c>
      <c r="L129" s="61"/>
      <c r="M129" s="2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</row>
    <row r="130" spans="1:27" ht="15" customHeight="1">
      <c r="A130" s="16"/>
      <c r="B130" s="20" t="s">
        <v>148</v>
      </c>
      <c r="C130" s="57" t="s">
        <v>133</v>
      </c>
      <c r="D130" s="58">
        <f>($F$119)*(1-(D104+D105+D106+D107+D108+D109+D110+D111+D112+D113))</f>
        <v>1.575E-2</v>
      </c>
      <c r="E130" s="60">
        <f t="shared" si="5"/>
        <v>124409</v>
      </c>
      <c r="F130" s="155">
        <f t="shared" si="6"/>
        <v>0</v>
      </c>
      <c r="G130" s="155"/>
      <c r="H130" s="155"/>
      <c r="I130" s="155"/>
      <c r="J130" s="155"/>
      <c r="K130" s="24">
        <f t="shared" si="7"/>
        <v>0</v>
      </c>
      <c r="L130" s="61"/>
      <c r="M130" s="2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</row>
    <row r="131" spans="1:27" ht="15" customHeight="1">
      <c r="A131" s="16"/>
      <c r="B131" s="20"/>
      <c r="C131" s="129" t="s">
        <v>32</v>
      </c>
      <c r="D131" s="129"/>
      <c r="E131" s="129"/>
      <c r="F131" s="129"/>
      <c r="G131" s="129"/>
      <c r="H131" s="129"/>
      <c r="I131" s="129"/>
      <c r="J131" s="129"/>
      <c r="K131" s="24">
        <f>SUM(K120:K130)</f>
        <v>0</v>
      </c>
      <c r="L131" s="65"/>
      <c r="M131" s="33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</row>
    <row r="132" spans="1:27" ht="15" customHeight="1">
      <c r="A132" s="2"/>
      <c r="L132" s="2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</row>
    <row r="133" spans="1:27" ht="15" customHeight="1">
      <c r="A133" s="16"/>
      <c r="B133" s="50" t="s">
        <v>41</v>
      </c>
      <c r="C133" s="156" t="s">
        <v>149</v>
      </c>
      <c r="D133" s="156"/>
      <c r="E133" s="5" t="s">
        <v>150</v>
      </c>
      <c r="F133" s="5" t="s">
        <v>151</v>
      </c>
      <c r="G133" s="5"/>
      <c r="H133" s="5" t="s">
        <v>152</v>
      </c>
      <c r="I133" s="127" t="s">
        <v>153</v>
      </c>
      <c r="J133" s="127"/>
      <c r="K133" s="18" t="s">
        <v>98</v>
      </c>
      <c r="L133" s="2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</row>
    <row r="134" spans="1:27" ht="12.75" customHeight="1">
      <c r="A134" s="2"/>
      <c r="B134" s="20" t="s">
        <v>154</v>
      </c>
      <c r="C134" s="130" t="s">
        <v>155</v>
      </c>
      <c r="D134" s="130"/>
      <c r="E134" s="53">
        <f>L3</f>
        <v>0</v>
      </c>
      <c r="F134" s="10">
        <v>24</v>
      </c>
      <c r="G134" s="10"/>
      <c r="H134" s="66"/>
      <c r="I134" s="151"/>
      <c r="J134" s="151"/>
      <c r="K134" s="22" t="e">
        <f>(H134*F134*E134)/I134</f>
        <v>#DIV/0!</v>
      </c>
      <c r="L134" s="67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75" customHeight="1">
      <c r="A135" s="2"/>
      <c r="B135" s="20"/>
      <c r="C135" s="129" t="s">
        <v>32</v>
      </c>
      <c r="D135" s="129"/>
      <c r="E135" s="129"/>
      <c r="F135" s="129"/>
      <c r="G135" s="129"/>
      <c r="H135" s="129"/>
      <c r="I135" s="129"/>
      <c r="J135" s="129"/>
      <c r="K135" s="24" t="e">
        <f>SUM(K134)</f>
        <v>#DIV/0!</v>
      </c>
      <c r="L135" s="68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75" customHeight="1">
      <c r="A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75" customHeight="1">
      <c r="A137" s="2"/>
      <c r="B137" s="50" t="s">
        <v>43</v>
      </c>
      <c r="C137" s="149" t="s">
        <v>156</v>
      </c>
      <c r="D137" s="149"/>
      <c r="E137" s="5" t="s">
        <v>94</v>
      </c>
      <c r="F137" s="56" t="s">
        <v>95</v>
      </c>
      <c r="G137" s="56"/>
      <c r="H137" s="5" t="s">
        <v>157</v>
      </c>
      <c r="I137" s="127" t="s">
        <v>97</v>
      </c>
      <c r="J137" s="127"/>
      <c r="K137" s="18" t="s">
        <v>98</v>
      </c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25.5" customHeight="1">
      <c r="A138" s="2"/>
      <c r="B138" s="20" t="s">
        <v>158</v>
      </c>
      <c r="C138" s="130" t="s">
        <v>159</v>
      </c>
      <c r="D138" s="130"/>
      <c r="E138" s="17">
        <v>1</v>
      </c>
      <c r="F138" s="17" t="s">
        <v>160</v>
      </c>
      <c r="G138" s="17"/>
      <c r="H138" s="121"/>
      <c r="I138" s="148"/>
      <c r="J138" s="148"/>
      <c r="K138" s="22">
        <f>H138*E138</f>
        <v>0</v>
      </c>
      <c r="O138" s="2"/>
      <c r="P138" s="2"/>
      <c r="Q138" s="69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75" customHeight="1">
      <c r="A139" s="2"/>
      <c r="B139" s="20" t="s">
        <v>161</v>
      </c>
      <c r="C139" s="130" t="s">
        <v>162</v>
      </c>
      <c r="D139" s="130"/>
      <c r="E139" s="17">
        <v>4</v>
      </c>
      <c r="F139" s="17" t="s">
        <v>160</v>
      </c>
      <c r="G139" s="17"/>
      <c r="H139" s="121"/>
      <c r="I139" s="148"/>
      <c r="J139" s="148"/>
      <c r="K139" s="22">
        <f>H139*E139</f>
        <v>0</v>
      </c>
      <c r="L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" customHeight="1">
      <c r="A140" s="2"/>
      <c r="B140" s="20" t="s">
        <v>163</v>
      </c>
      <c r="C140" s="130" t="s">
        <v>164</v>
      </c>
      <c r="D140" s="130"/>
      <c r="E140" s="17">
        <v>4</v>
      </c>
      <c r="F140" s="17" t="s">
        <v>165</v>
      </c>
      <c r="G140" s="17"/>
      <c r="H140" s="121"/>
      <c r="I140" s="148"/>
      <c r="J140" s="148"/>
      <c r="K140" s="22">
        <f>(H140*E140)/12</f>
        <v>0</v>
      </c>
      <c r="L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" customHeight="1">
      <c r="A141" s="2"/>
      <c r="B141" s="20"/>
      <c r="C141" s="129" t="s">
        <v>32</v>
      </c>
      <c r="D141" s="129"/>
      <c r="E141" s="129"/>
      <c r="F141" s="129"/>
      <c r="G141" s="129"/>
      <c r="H141" s="129"/>
      <c r="I141" s="129"/>
      <c r="J141" s="129"/>
      <c r="K141" s="24">
        <f>SUM(K138:K140)</f>
        <v>0</v>
      </c>
      <c r="L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75" customHeight="1">
      <c r="A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75" customHeight="1">
      <c r="A143" s="2"/>
      <c r="B143" s="50" t="s">
        <v>45</v>
      </c>
      <c r="C143" s="149" t="s">
        <v>166</v>
      </c>
      <c r="D143" s="149"/>
      <c r="E143" s="5" t="s">
        <v>94</v>
      </c>
      <c r="F143" s="56" t="s">
        <v>95</v>
      </c>
      <c r="G143" s="56"/>
      <c r="H143" s="5" t="s">
        <v>157</v>
      </c>
      <c r="I143" s="127" t="s">
        <v>97</v>
      </c>
      <c r="J143" s="127"/>
      <c r="K143" s="18" t="s">
        <v>98</v>
      </c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75" customHeight="1">
      <c r="A144" s="2"/>
      <c r="B144" s="20" t="s">
        <v>167</v>
      </c>
      <c r="C144" s="130" t="s">
        <v>168</v>
      </c>
      <c r="D144" s="130"/>
      <c r="E144" s="17">
        <v>1</v>
      </c>
      <c r="F144" s="17" t="s">
        <v>160</v>
      </c>
      <c r="G144" s="17"/>
      <c r="H144" s="121"/>
      <c r="I144" s="148"/>
      <c r="J144" s="148"/>
      <c r="K144" s="22">
        <f>H144*E144</f>
        <v>0</v>
      </c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75" customHeight="1">
      <c r="A145" s="2"/>
      <c r="B145" s="20"/>
      <c r="C145" s="129" t="s">
        <v>32</v>
      </c>
      <c r="D145" s="129"/>
      <c r="E145" s="129"/>
      <c r="F145" s="129"/>
      <c r="G145" s="129"/>
      <c r="H145" s="129"/>
      <c r="I145" s="129"/>
      <c r="J145" s="129"/>
      <c r="K145" s="24">
        <f>SUM(K144)</f>
        <v>0</v>
      </c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75" customHeight="1">
      <c r="A146" s="2"/>
      <c r="B146" s="131" t="s">
        <v>169</v>
      </c>
      <c r="C146" s="131"/>
      <c r="D146" s="131"/>
      <c r="E146" s="131"/>
      <c r="F146" s="131"/>
      <c r="G146" s="131"/>
      <c r="H146" s="131"/>
      <c r="I146" s="131"/>
      <c r="J146" s="131"/>
      <c r="K146" s="24" t="e">
        <f>K145+K141+K135+K131+K115+K100</f>
        <v>#DIV/0!</v>
      </c>
      <c r="L146" s="2"/>
      <c r="M146" s="25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8" customHeight="1">
      <c r="A147" s="2"/>
      <c r="B147" s="123"/>
      <c r="C147" s="123"/>
      <c r="D147" s="123"/>
      <c r="E147" s="123"/>
      <c r="F147" s="123"/>
      <c r="G147" s="123"/>
      <c r="H147" s="123"/>
      <c r="I147" s="123"/>
      <c r="J147" s="123"/>
      <c r="K147" s="123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7.25" customHeight="1">
      <c r="A148" s="2"/>
      <c r="B148" s="122" t="s">
        <v>170</v>
      </c>
      <c r="C148" s="122"/>
      <c r="D148" s="122"/>
      <c r="E148" s="122"/>
      <c r="F148" s="122"/>
      <c r="G148" s="122"/>
      <c r="H148" s="122"/>
      <c r="I148" s="122"/>
      <c r="J148" s="122"/>
      <c r="K148" s="122"/>
      <c r="L148" s="46"/>
      <c r="M148" s="46"/>
      <c r="N148" s="46"/>
      <c r="O148" s="46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75" customHeight="1">
      <c r="A149" s="2"/>
      <c r="B149" s="17" t="s">
        <v>17</v>
      </c>
      <c r="C149" s="157" t="s">
        <v>171</v>
      </c>
      <c r="D149" s="157"/>
      <c r="E149" s="157"/>
      <c r="F149" s="157"/>
      <c r="G149" s="157"/>
      <c r="H149" s="157"/>
      <c r="I149" s="70"/>
      <c r="J149" s="12">
        <f>K92</f>
        <v>0</v>
      </c>
      <c r="K149" s="12"/>
      <c r="L149" s="46"/>
      <c r="M149" s="46"/>
      <c r="N149" s="46"/>
      <c r="O149" s="46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75" customHeight="1">
      <c r="A150" s="2"/>
      <c r="B150" s="17" t="s">
        <v>30</v>
      </c>
      <c r="C150" s="158" t="s">
        <v>172</v>
      </c>
      <c r="D150" s="158"/>
      <c r="E150" s="158"/>
      <c r="F150" s="158"/>
      <c r="G150" s="158"/>
      <c r="H150" s="158"/>
      <c r="I150" s="71"/>
      <c r="J150" s="12">
        <f>K100+K115+K131+K145</f>
        <v>0</v>
      </c>
      <c r="K150" s="12"/>
      <c r="L150" s="46"/>
      <c r="M150" s="46"/>
      <c r="N150" s="46"/>
      <c r="O150" s="46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75" customHeight="1">
      <c r="A151" s="2"/>
      <c r="B151" s="17" t="s">
        <v>39</v>
      </c>
      <c r="C151" s="157" t="s">
        <v>173</v>
      </c>
      <c r="D151" s="157"/>
      <c r="E151" s="157"/>
      <c r="F151" s="157"/>
      <c r="G151" s="157"/>
      <c r="H151" s="157"/>
      <c r="I151" s="72"/>
      <c r="J151" s="73"/>
      <c r="K151" s="12" t="e">
        <f>K135+K141</f>
        <v>#DIV/0!</v>
      </c>
      <c r="L151" s="46"/>
      <c r="M151" s="46"/>
      <c r="N151" s="46"/>
      <c r="O151" s="46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75" customHeight="1">
      <c r="A152" s="2"/>
      <c r="B152" s="47"/>
      <c r="C152" s="159" t="s">
        <v>174</v>
      </c>
      <c r="D152" s="159"/>
      <c r="E152" s="159"/>
      <c r="F152" s="159"/>
      <c r="G152" s="159"/>
      <c r="H152" s="159"/>
      <c r="I152" s="75"/>
      <c r="J152" s="76">
        <f>SUM(J149:J151)</f>
        <v>0</v>
      </c>
      <c r="K152" s="77" t="e">
        <f>SUM(K149:K151)</f>
        <v>#DIV/0!</v>
      </c>
      <c r="L152" s="46"/>
      <c r="M152" s="46"/>
      <c r="N152" s="46"/>
      <c r="O152" s="46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32.25" customHeight="1">
      <c r="A153" s="2"/>
      <c r="B153" s="123"/>
      <c r="C153" s="123"/>
      <c r="D153" s="123"/>
      <c r="E153" s="123"/>
      <c r="F153" s="123"/>
      <c r="G153" s="123"/>
      <c r="H153" s="123"/>
      <c r="I153" s="123"/>
      <c r="J153" s="123"/>
      <c r="K153" s="123"/>
      <c r="L153" s="78"/>
      <c r="M153" s="79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7.25" customHeight="1">
      <c r="A154" s="2"/>
      <c r="B154" s="122" t="s">
        <v>175</v>
      </c>
      <c r="C154" s="122"/>
      <c r="D154" s="122"/>
      <c r="E154" s="122"/>
      <c r="F154" s="122"/>
      <c r="G154" s="122"/>
      <c r="H154" s="122"/>
      <c r="I154" s="122"/>
      <c r="J154" s="122"/>
      <c r="K154" s="12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75" customHeight="1">
      <c r="A155" s="2"/>
      <c r="B155" s="17"/>
      <c r="C155" s="135" t="s">
        <v>176</v>
      </c>
      <c r="D155" s="135"/>
      <c r="E155" s="135"/>
      <c r="F155" s="74" t="s">
        <v>28</v>
      </c>
      <c r="G155" s="131" t="s">
        <v>177</v>
      </c>
      <c r="H155" s="160" t="s">
        <v>178</v>
      </c>
      <c r="I155" s="160"/>
      <c r="J155" s="80" t="s">
        <v>179</v>
      </c>
      <c r="K155" s="80" t="s">
        <v>180</v>
      </c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75" customHeight="1">
      <c r="A156" s="2"/>
      <c r="B156" s="17" t="s">
        <v>17</v>
      </c>
      <c r="C156" s="130" t="s">
        <v>181</v>
      </c>
      <c r="D156" s="130"/>
      <c r="E156" s="130"/>
      <c r="F156" s="81">
        <v>0.05</v>
      </c>
      <c r="G156" s="131"/>
      <c r="H156" s="82">
        <f>J152</f>
        <v>0</v>
      </c>
      <c r="I156" s="83" t="e">
        <f>K152</f>
        <v>#DIV/0!</v>
      </c>
      <c r="J156" s="22">
        <f>F156*H156</f>
        <v>0</v>
      </c>
      <c r="K156" s="22" t="e">
        <f>F156*I156</f>
        <v>#DIV/0!</v>
      </c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75" customHeight="1">
      <c r="A157" s="2"/>
      <c r="B157" s="17" t="s">
        <v>30</v>
      </c>
      <c r="C157" s="130" t="s">
        <v>182</v>
      </c>
      <c r="D157" s="130"/>
      <c r="E157" s="130"/>
      <c r="F157" s="81">
        <v>0.1</v>
      </c>
      <c r="G157" s="131"/>
      <c r="H157" s="82">
        <f>H156+J156</f>
        <v>0</v>
      </c>
      <c r="I157" s="83" t="e">
        <f>I156+K156</f>
        <v>#DIV/0!</v>
      </c>
      <c r="J157" s="22">
        <f>F157*H157</f>
        <v>0</v>
      </c>
      <c r="K157" s="22" t="e">
        <f>F157*I157</f>
        <v>#DIV/0!</v>
      </c>
      <c r="L157" s="34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37.5" customHeight="1">
      <c r="A158" s="2"/>
      <c r="B158" s="138" t="s">
        <v>39</v>
      </c>
      <c r="C158" s="130" t="s">
        <v>183</v>
      </c>
      <c r="D158" s="47" t="s">
        <v>184</v>
      </c>
      <c r="E158" s="84">
        <v>1.6500000000000001E-2</v>
      </c>
      <c r="F158" s="161">
        <f>E158+E159</f>
        <v>9.2499999999999999E-2</v>
      </c>
      <c r="G158" s="85" t="s">
        <v>185</v>
      </c>
      <c r="H158" s="86">
        <f>H157+J157</f>
        <v>0</v>
      </c>
      <c r="I158" s="86" t="e">
        <f>I157+K157</f>
        <v>#DIV/0!</v>
      </c>
      <c r="J158" s="162">
        <f>(H158/H159)*F158</f>
        <v>0</v>
      </c>
      <c r="K158" s="162" t="e">
        <f>(I158/I159)*F158</f>
        <v>#DIV/0!</v>
      </c>
      <c r="L158" s="87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75" customHeight="1">
      <c r="A159" s="2"/>
      <c r="B159" s="138"/>
      <c r="C159" s="130"/>
      <c r="D159" s="47" t="s">
        <v>186</v>
      </c>
      <c r="E159" s="84">
        <v>7.5999999999999998E-2</v>
      </c>
      <c r="F159" s="161"/>
      <c r="G159" s="88" t="s">
        <v>187</v>
      </c>
      <c r="H159" s="89">
        <f>1-(9.25/100)</f>
        <v>0.90749999999999997</v>
      </c>
      <c r="I159" s="89">
        <f>1-(9.25/100)</f>
        <v>0.90749999999999997</v>
      </c>
      <c r="J159" s="162"/>
      <c r="K159" s="162"/>
      <c r="L159" s="90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51" customHeight="1">
      <c r="A160" s="91"/>
      <c r="B160" s="163" t="s">
        <v>41</v>
      </c>
      <c r="C160" s="140" t="s">
        <v>188</v>
      </c>
      <c r="D160" s="130" t="s">
        <v>189</v>
      </c>
      <c r="E160" s="164">
        <v>2.5000000000000001E-2</v>
      </c>
      <c r="F160" s="165">
        <f>E160</f>
        <v>2.5000000000000001E-2</v>
      </c>
      <c r="G160" s="30" t="s">
        <v>190</v>
      </c>
      <c r="H160" s="86">
        <f>H158+J158</f>
        <v>0</v>
      </c>
      <c r="I160" s="86" t="e">
        <f>I158+K158</f>
        <v>#DIV/0!</v>
      </c>
      <c r="J160" s="162">
        <f>H160/H161*F160</f>
        <v>0</v>
      </c>
      <c r="K160" s="162" t="e">
        <f>I160/I161*F160</f>
        <v>#DIV/0!</v>
      </c>
      <c r="L160" s="92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</row>
    <row r="161" spans="1:27" ht="12.75" customHeight="1">
      <c r="A161" s="91"/>
      <c r="B161" s="163"/>
      <c r="C161" s="140"/>
      <c r="D161" s="130"/>
      <c r="E161" s="130"/>
      <c r="F161" s="130"/>
      <c r="G161" s="88" t="s">
        <v>191</v>
      </c>
      <c r="H161" s="93">
        <f>1-(2.5/100)</f>
        <v>0.97499999999999998</v>
      </c>
      <c r="I161" s="93">
        <f>1-(2.5/100)</f>
        <v>0.97499999999999998</v>
      </c>
      <c r="J161" s="162"/>
      <c r="K161" s="162"/>
      <c r="L161" s="92"/>
      <c r="M161" s="91"/>
      <c r="N161" s="91"/>
      <c r="O161" s="91"/>
      <c r="P161" s="91"/>
      <c r="Q161" s="91"/>
      <c r="R161" s="91"/>
      <c r="S161" s="91"/>
      <c r="T161" s="91"/>
      <c r="U161" s="91"/>
      <c r="V161" s="91"/>
      <c r="W161" s="91"/>
      <c r="X161" s="91"/>
      <c r="Y161" s="91"/>
      <c r="Z161" s="91"/>
      <c r="AA161" s="91"/>
    </row>
    <row r="162" spans="1:27" ht="12.75" customHeight="1">
      <c r="A162" s="2"/>
      <c r="B162" s="131" t="s">
        <v>192</v>
      </c>
      <c r="C162" s="131"/>
      <c r="D162" s="131"/>
      <c r="E162" s="131"/>
      <c r="F162" s="94">
        <f>SUM(F156:F160)</f>
        <v>0.26750000000000002</v>
      </c>
      <c r="G162" s="95"/>
      <c r="H162" s="96"/>
      <c r="I162" s="97"/>
      <c r="J162" s="24">
        <f>SUM(J156:J161)</f>
        <v>0</v>
      </c>
      <c r="K162" s="24" t="e">
        <f>SUM(K156:K161)</f>
        <v>#DIV/0!</v>
      </c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4" spans="1:27" ht="12.75" customHeight="1">
      <c r="A164" s="2"/>
      <c r="B164" s="166" t="s">
        <v>193</v>
      </c>
      <c r="C164" s="166"/>
      <c r="D164" s="166"/>
      <c r="E164" s="166"/>
      <c r="F164" s="166"/>
      <c r="G164" s="166"/>
      <c r="H164" s="166"/>
      <c r="I164" s="166"/>
      <c r="J164" s="166"/>
      <c r="K164" s="166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75" customHeight="1">
      <c r="A165" s="2"/>
      <c r="B165" s="166" t="s">
        <v>194</v>
      </c>
      <c r="C165" s="166"/>
      <c r="D165" s="166"/>
      <c r="E165" s="166"/>
      <c r="F165" s="166"/>
      <c r="G165" s="166"/>
      <c r="H165" s="166"/>
      <c r="I165" s="166"/>
      <c r="J165" s="166"/>
      <c r="K165" s="166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20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7.25" customHeight="1">
      <c r="A167" s="2"/>
      <c r="B167" s="122" t="s">
        <v>195</v>
      </c>
      <c r="C167" s="122"/>
      <c r="D167" s="122"/>
      <c r="E167" s="122"/>
      <c r="F167" s="122"/>
      <c r="G167" s="122"/>
      <c r="H167" s="122"/>
      <c r="I167" s="122"/>
      <c r="J167" s="122"/>
      <c r="K167" s="12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75" hidden="1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75" customHeight="1">
      <c r="A169" s="2"/>
      <c r="B169" s="10" t="s">
        <v>17</v>
      </c>
      <c r="C169" s="167" t="s">
        <v>196</v>
      </c>
      <c r="D169" s="167"/>
      <c r="E169" s="167"/>
      <c r="F169" s="167"/>
      <c r="G169" s="167"/>
      <c r="H169" s="167"/>
      <c r="I169" s="167"/>
      <c r="J169" s="167"/>
      <c r="K169" s="98">
        <f>K92</f>
        <v>0</v>
      </c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5.75" customHeight="1">
      <c r="A170" s="2"/>
      <c r="B170" s="10" t="s">
        <v>30</v>
      </c>
      <c r="C170" s="167" t="s">
        <v>197</v>
      </c>
      <c r="D170" s="167"/>
      <c r="E170" s="167"/>
      <c r="F170" s="167"/>
      <c r="G170" s="167"/>
      <c r="H170" s="167"/>
      <c r="I170" s="167"/>
      <c r="J170" s="167"/>
      <c r="K170" s="98" t="e">
        <f>K146</f>
        <v>#DIV/0!</v>
      </c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5.75" customHeight="1">
      <c r="A171" s="2"/>
      <c r="B171" s="10" t="s">
        <v>39</v>
      </c>
      <c r="C171" s="167" t="s">
        <v>198</v>
      </c>
      <c r="D171" s="167"/>
      <c r="E171" s="167"/>
      <c r="F171" s="167"/>
      <c r="G171" s="167"/>
      <c r="H171" s="167"/>
      <c r="I171" s="167"/>
      <c r="J171" s="167"/>
      <c r="K171" s="99" t="e">
        <f>J162+K162</f>
        <v>#DIV/0!</v>
      </c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5.75" customHeight="1">
      <c r="A172" s="2"/>
      <c r="B172" s="35"/>
      <c r="C172" s="160" t="s">
        <v>199</v>
      </c>
      <c r="D172" s="160"/>
      <c r="E172" s="160"/>
      <c r="F172" s="160"/>
      <c r="G172" s="160"/>
      <c r="H172" s="160"/>
      <c r="I172" s="160"/>
      <c r="J172" s="160"/>
      <c r="K172" s="100" t="e">
        <f>SUM(K169:K171)-0.01</f>
        <v>#DIV/0!</v>
      </c>
      <c r="L172" s="78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5.75" customHeight="1">
      <c r="A173" s="2"/>
      <c r="B173" s="35"/>
      <c r="C173" s="167" t="s">
        <v>200</v>
      </c>
      <c r="D173" s="167"/>
      <c r="E173" s="167"/>
      <c r="F173" s="167"/>
      <c r="G173" s="167"/>
      <c r="H173" s="167"/>
      <c r="I173" s="167"/>
      <c r="J173" s="167"/>
      <c r="K173" s="100" t="e">
        <f>K172/(E134*F134)</f>
        <v>#DIV/0!</v>
      </c>
      <c r="L173" s="101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s="1" customFormat="1" ht="15.75" customHeight="1">
      <c r="A174" s="2"/>
      <c r="B174" s="35"/>
      <c r="C174" s="168" t="s">
        <v>201</v>
      </c>
      <c r="D174" s="168"/>
      <c r="E174" s="168"/>
      <c r="F174" s="168"/>
      <c r="G174" s="168"/>
      <c r="H174" s="168"/>
      <c r="I174" s="168"/>
      <c r="J174" s="168"/>
      <c r="K174" s="100" t="e">
        <f>(K152+K162)/(E134*F134)</f>
        <v>#DIV/0!</v>
      </c>
      <c r="L174" s="101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s="1" customFormat="1" ht="15.75" customHeight="1">
      <c r="A175" s="2"/>
      <c r="B175" s="35"/>
      <c r="C175" s="167" t="s">
        <v>202</v>
      </c>
      <c r="D175" s="167"/>
      <c r="E175" s="167"/>
      <c r="F175" s="167"/>
      <c r="G175" s="167"/>
      <c r="H175" s="167"/>
      <c r="I175" s="167"/>
      <c r="J175" s="167"/>
      <c r="K175" s="100">
        <f>J152+J162</f>
        <v>0</v>
      </c>
      <c r="L175" s="101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5.75" customHeight="1">
      <c r="A176" s="2"/>
      <c r="B176" s="35"/>
      <c r="C176" s="167" t="s">
        <v>203</v>
      </c>
      <c r="D176" s="167"/>
      <c r="E176" s="167"/>
      <c r="F176" s="167"/>
      <c r="G176" s="167"/>
      <c r="H176" s="167"/>
      <c r="I176" s="167"/>
      <c r="J176" s="167"/>
      <c r="K176" s="100" t="e">
        <f>K152+K162</f>
        <v>#DIV/0!</v>
      </c>
      <c r="L176" s="79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s="1" customFormat="1" ht="15.75" customHeight="1">
      <c r="A177" s="2"/>
      <c r="B177" s="102"/>
      <c r="C177" s="168" t="s">
        <v>204</v>
      </c>
      <c r="D177" s="168"/>
      <c r="E177" s="168"/>
      <c r="F177" s="168"/>
      <c r="G177" s="168"/>
      <c r="H177" s="168"/>
      <c r="I177" s="168"/>
      <c r="J177" s="168"/>
      <c r="K177" s="103"/>
      <c r="L177" s="104"/>
      <c r="M177" s="78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s="1" customFormat="1" ht="15.75" customHeight="1">
      <c r="A178" s="2"/>
      <c r="B178" s="105"/>
      <c r="C178" s="106"/>
      <c r="D178" s="107"/>
      <c r="E178" s="107"/>
      <c r="F178" s="107"/>
      <c r="G178" s="107"/>
      <c r="H178" s="107"/>
      <c r="I178" s="107"/>
      <c r="J178" s="107"/>
      <c r="K178" s="108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109" t="s">
        <v>205</v>
      </c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5.75" customHeight="1">
      <c r="A181" s="2"/>
      <c r="B181" s="146" t="s">
        <v>206</v>
      </c>
      <c r="C181" s="146"/>
      <c r="D181" s="146"/>
      <c r="E181" s="2"/>
      <c r="F181" s="2"/>
      <c r="G181" s="2"/>
      <c r="H181" s="2"/>
      <c r="I181" s="2"/>
      <c r="J181" s="2"/>
      <c r="K181" s="109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5" customHeight="1">
      <c r="A182" s="2"/>
      <c r="B182" s="169" t="s">
        <v>207</v>
      </c>
      <c r="C182" s="169"/>
      <c r="D182" s="169"/>
      <c r="E182" s="2"/>
      <c r="F182" s="2"/>
      <c r="G182" s="2"/>
      <c r="H182" s="169"/>
      <c r="I182" s="169"/>
      <c r="J182" s="169"/>
      <c r="K182" s="169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5.75" customHeight="1">
      <c r="A184" s="2"/>
      <c r="B184" s="35"/>
      <c r="C184" s="10" t="s">
        <v>208</v>
      </c>
      <c r="D184" s="10" t="s">
        <v>209</v>
      </c>
      <c r="E184" s="10" t="s">
        <v>210</v>
      </c>
      <c r="F184" s="10" t="s">
        <v>211</v>
      </c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5.75" customHeight="1">
      <c r="A185" s="110" t="e">
        <f t="shared" ref="A185:A195" si="8">C185/$L$173</f>
        <v>#DIV/0!</v>
      </c>
      <c r="B185" s="57" t="s">
        <v>114</v>
      </c>
      <c r="C185" s="111">
        <f>D185+E185</f>
        <v>0</v>
      </c>
      <c r="D185" s="112">
        <f>K175</f>
        <v>0</v>
      </c>
      <c r="E185" s="113">
        <f>K177</f>
        <v>0</v>
      </c>
      <c r="F185" s="114">
        <f t="shared" ref="F185:F195" si="9">(C185*10)+(D185*2)</f>
        <v>0</v>
      </c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5.75" customHeight="1">
      <c r="A186" s="110" t="e">
        <f t="shared" si="8"/>
        <v>#REF!</v>
      </c>
      <c r="B186" s="57" t="s">
        <v>115</v>
      </c>
      <c r="C186" s="112" t="e">
        <f>#REF!</f>
        <v>#REF!</v>
      </c>
      <c r="D186" s="112" t="e">
        <f>#REF!</f>
        <v>#REF!</v>
      </c>
      <c r="E186" s="113" t="e">
        <f>#REF!</f>
        <v>#REF!</v>
      </c>
      <c r="F186" s="114" t="e">
        <f t="shared" si="9"/>
        <v>#REF!</v>
      </c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5.75" customHeight="1">
      <c r="A187" s="110" t="e">
        <f t="shared" si="8"/>
        <v>#REF!</v>
      </c>
      <c r="B187" s="57" t="s">
        <v>117</v>
      </c>
      <c r="C187" s="112" t="e">
        <f>#REF!</f>
        <v>#REF!</v>
      </c>
      <c r="D187" s="112" t="e">
        <f>#REF!</f>
        <v>#REF!</v>
      </c>
      <c r="E187" s="113" t="e">
        <f>#REF!</f>
        <v>#REF!</v>
      </c>
      <c r="F187" s="114" t="e">
        <f t="shared" si="9"/>
        <v>#REF!</v>
      </c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5.75" customHeight="1">
      <c r="A188" s="110" t="e">
        <f t="shared" si="8"/>
        <v>#REF!</v>
      </c>
      <c r="B188" s="57" t="s">
        <v>119</v>
      </c>
      <c r="C188" s="112" t="e">
        <f>#REF!</f>
        <v>#REF!</v>
      </c>
      <c r="D188" s="112" t="e">
        <f>#REF!</f>
        <v>#REF!</v>
      </c>
      <c r="E188" s="112" t="e">
        <f>#REF!</f>
        <v>#REF!</v>
      </c>
      <c r="F188" s="114" t="e">
        <f t="shared" si="9"/>
        <v>#REF!</v>
      </c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5.75" customHeight="1">
      <c r="A189" s="110" t="e">
        <f t="shared" si="8"/>
        <v>#REF!</v>
      </c>
      <c r="B189" s="57" t="s">
        <v>121</v>
      </c>
      <c r="C189" s="112" t="e">
        <f>#REF!</f>
        <v>#REF!</v>
      </c>
      <c r="D189" s="112" t="e">
        <f>#REF!</f>
        <v>#REF!</v>
      </c>
      <c r="E189" s="112" t="e">
        <f>#REF!</f>
        <v>#REF!</v>
      </c>
      <c r="F189" s="114" t="e">
        <f t="shared" si="9"/>
        <v>#REF!</v>
      </c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5.75" customHeight="1">
      <c r="A190" s="110" t="e">
        <f t="shared" si="8"/>
        <v>#REF!</v>
      </c>
      <c r="B190" s="57" t="s">
        <v>123</v>
      </c>
      <c r="C190" s="112" t="e">
        <f>#REF!</f>
        <v>#REF!</v>
      </c>
      <c r="D190" s="112" t="e">
        <f>#REF!</f>
        <v>#REF!</v>
      </c>
      <c r="E190" s="112" t="e">
        <f>#REF!</f>
        <v>#REF!</v>
      </c>
      <c r="F190" s="114" t="e">
        <f t="shared" si="9"/>
        <v>#REF!</v>
      </c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5.75" customHeight="1">
      <c r="A191" s="110" t="e">
        <f t="shared" si="8"/>
        <v>#REF!</v>
      </c>
      <c r="B191" s="57" t="s">
        <v>125</v>
      </c>
      <c r="C191" s="112" t="e">
        <f>#REF!</f>
        <v>#REF!</v>
      </c>
      <c r="D191" s="112" t="e">
        <f>#REF!</f>
        <v>#REF!</v>
      </c>
      <c r="E191" s="112" t="e">
        <f>#REF!</f>
        <v>#REF!</v>
      </c>
      <c r="F191" s="114" t="e">
        <f t="shared" si="9"/>
        <v>#REF!</v>
      </c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5.75" customHeight="1">
      <c r="A192" s="110" t="e">
        <f t="shared" si="8"/>
        <v>#REF!</v>
      </c>
      <c r="B192" s="57" t="s">
        <v>127</v>
      </c>
      <c r="C192" s="112" t="e">
        <f>#REF!</f>
        <v>#REF!</v>
      </c>
      <c r="D192" s="112" t="e">
        <f>#REF!</f>
        <v>#REF!</v>
      </c>
      <c r="E192" s="112" t="e">
        <f>#REF!</f>
        <v>#REF!</v>
      </c>
      <c r="F192" s="114" t="e">
        <f t="shared" si="9"/>
        <v>#REF!</v>
      </c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5.75" customHeight="1">
      <c r="A193" s="110" t="e">
        <f t="shared" si="8"/>
        <v>#REF!</v>
      </c>
      <c r="B193" s="57" t="s">
        <v>129</v>
      </c>
      <c r="C193" s="112" t="e">
        <f>#REF!</f>
        <v>#REF!</v>
      </c>
      <c r="D193" s="112" t="e">
        <f>#REF!</f>
        <v>#REF!</v>
      </c>
      <c r="E193" s="112" t="e">
        <f>#REF!</f>
        <v>#REF!</v>
      </c>
      <c r="F193" s="114" t="e">
        <f t="shared" si="9"/>
        <v>#REF!</v>
      </c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5.75" customHeight="1">
      <c r="A194" s="110" t="e">
        <f t="shared" si="8"/>
        <v>#REF!</v>
      </c>
      <c r="B194" s="57" t="s">
        <v>131</v>
      </c>
      <c r="C194" s="112" t="e">
        <f>#REF!</f>
        <v>#REF!</v>
      </c>
      <c r="D194" s="112" t="e">
        <f>#REF!</f>
        <v>#REF!</v>
      </c>
      <c r="E194" s="112" t="e">
        <f>#REF!</f>
        <v>#REF!</v>
      </c>
      <c r="F194" s="114" t="e">
        <f t="shared" si="9"/>
        <v>#REF!</v>
      </c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5.75" customHeight="1">
      <c r="A195" s="110" t="e">
        <f t="shared" si="8"/>
        <v>#REF!</v>
      </c>
      <c r="B195" s="57" t="s">
        <v>133</v>
      </c>
      <c r="C195" s="112" t="e">
        <f>#REF!</f>
        <v>#REF!</v>
      </c>
      <c r="D195" s="112" t="e">
        <f>#REF!</f>
        <v>#REF!</v>
      </c>
      <c r="E195" s="112" t="e">
        <f>#REF!</f>
        <v>#REF!</v>
      </c>
      <c r="F195" s="114" t="e">
        <f t="shared" si="9"/>
        <v>#REF!</v>
      </c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 ht="15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spans="1:27" ht="15.7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  <row r="1003" spans="1:27" ht="15.7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</row>
    <row r="1004" spans="1:27" ht="15.75" customHeight="1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</row>
    <row r="1005" spans="1:27" ht="15.75" customHeight="1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</row>
    <row r="1006" spans="1:27" ht="15.75" customHeight="1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</row>
    <row r="1007" spans="1:27" ht="15.75" customHeight="1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</row>
    <row r="1008" spans="1:27" ht="15.75" customHeight="1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</row>
    <row r="1009" spans="1:27" ht="15.75" customHeight="1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</row>
    <row r="1010" spans="1:27" ht="15.75" customHeight="1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</row>
    <row r="1011" spans="1:27" ht="15.75" customHeight="1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</row>
    <row r="1012" spans="1:27" ht="15.75" customHeight="1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</row>
    <row r="1013" spans="1:27" ht="15.75" customHeight="1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</row>
    <row r="1014" spans="1:27" ht="15.75" customHeight="1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</row>
    <row r="1015" spans="1:27" ht="15.75" customHeight="1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</row>
    <row r="1016" spans="1:27" ht="15.75" customHeight="1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</row>
    <row r="1017" spans="1:27" ht="15.75" customHeight="1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</row>
    <row r="1018" spans="1:27" ht="15.75" customHeight="1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</row>
    <row r="1019" spans="1:27" ht="15.75" customHeight="1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</row>
    <row r="1020" spans="1:27" ht="15.75" customHeight="1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</row>
    <row r="1021" spans="1:27" ht="15.75" customHeight="1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</row>
    <row r="1022" spans="1:27" ht="15.75" customHeight="1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</row>
    <row r="1023" spans="1:27" ht="15.75" customHeight="1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  <c r="AA1023" s="2"/>
    </row>
    <row r="1024" spans="1:27" ht="15.75" customHeight="1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  <c r="AA1024" s="2"/>
    </row>
    <row r="1025" spans="1:27" ht="15.75" customHeight="1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  <c r="AA1025" s="2"/>
    </row>
    <row r="1026" spans="1:27" ht="15.75" customHeight="1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  <c r="AA1026" s="2"/>
    </row>
    <row r="1027" spans="1:27" ht="15.75" customHeight="1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  <c r="AA1027" s="2"/>
    </row>
    <row r="1028" spans="1:27" ht="15.75" customHeight="1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  <c r="AA1028" s="2"/>
    </row>
    <row r="1029" spans="1:27" ht="15.75" customHeight="1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  <c r="AA1029" s="2"/>
    </row>
    <row r="1030" spans="1:27" ht="15.75" customHeight="1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  <c r="AA1030" s="2"/>
    </row>
    <row r="1031" spans="1:27" ht="15.75" customHeight="1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  <c r="AA1031" s="2"/>
    </row>
    <row r="1032" spans="1:27" ht="15.75" customHeight="1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  <c r="AA1032" s="2"/>
    </row>
    <row r="1033" spans="1:27" ht="15.75" customHeight="1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  <c r="AA1033" s="2"/>
    </row>
  </sheetData>
  <mergeCells count="207">
    <mergeCell ref="C176:J176"/>
    <mergeCell ref="C177:J177"/>
    <mergeCell ref="B181:D181"/>
    <mergeCell ref="B182:D182"/>
    <mergeCell ref="H182:K182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2:K2"/>
    <mergeCell ref="B3:K3"/>
    <mergeCell ref="B4:K4"/>
    <mergeCell ref="B5:K5"/>
    <mergeCell ref="B6:K6"/>
    <mergeCell ref="B7:K7"/>
    <mergeCell ref="B8:D8"/>
    <mergeCell ref="B9:D9"/>
    <mergeCell ref="B10:D10"/>
  </mergeCells>
  <printOptions horizontalCentered="1"/>
  <pageMargins left="0.51180555555555496" right="0.23611111111111099" top="0.59027777777777801" bottom="0.629861111111110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0-1</vt:lpstr>
      <vt:lpstr>'0-1'!Area_de_impressao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Ricardo Trindade Pinheiro</cp:lastModifiedBy>
  <cp:revision>4</cp:revision>
  <cp:lastPrinted>2024-07-23T22:29:40Z</cp:lastPrinted>
  <dcterms:created xsi:type="dcterms:W3CDTF">2019-11-18T10:59:10Z</dcterms:created>
  <dcterms:modified xsi:type="dcterms:W3CDTF">2024-10-25T15:01:54Z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