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cardo.pinheiro\Desktop\PLANILHAS\"/>
    </mc:Choice>
  </mc:AlternateContent>
  <xr:revisionPtr revIDLastSave="0" documentId="8_{1D3EED1D-EB98-4A55-9216-B83FE4F300CE}" xr6:coauthVersionLast="47" xr6:coauthVersionMax="47" xr10:uidLastSave="{00000000-0000-0000-0000-000000000000}"/>
  <bookViews>
    <workbookView xWindow="-120" yWindow="-120" windowWidth="29040" windowHeight="17640" tabRatio="500" xr2:uid="{00000000-000D-0000-FFFF-FFFF00000000}"/>
  </bookViews>
  <sheets>
    <sheet name="0-1" sheetId="1" r:id="rId1"/>
    <sheet name="10+" sheetId="11" r:id="rId2"/>
  </sheets>
  <definedNames>
    <definedName name="_xlnm.Print_Area" localSheetId="0">'0-1'!$B$1:$K$182</definedName>
    <definedName name="_xlnm.Print_Area" localSheetId="1">'10+'!$B$1:$K$182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79" i="11" l="1"/>
  <c r="I161" i="11"/>
  <c r="H161" i="11"/>
  <c r="F160" i="11"/>
  <c r="G159" i="11"/>
  <c r="E159" i="11"/>
  <c r="D159" i="11"/>
  <c r="E158" i="11"/>
  <c r="F158" i="11" s="1"/>
  <c r="D158" i="11"/>
  <c r="C158" i="11"/>
  <c r="F157" i="11"/>
  <c r="F156" i="11"/>
  <c r="I144" i="11"/>
  <c r="H144" i="11"/>
  <c r="E144" i="11"/>
  <c r="I140" i="11"/>
  <c r="H140" i="11"/>
  <c r="K140" i="11" s="1"/>
  <c r="E140" i="11"/>
  <c r="K139" i="11"/>
  <c r="I139" i="11"/>
  <c r="H139" i="11"/>
  <c r="E139" i="11"/>
  <c r="I138" i="11"/>
  <c r="E138" i="11"/>
  <c r="H134" i="11"/>
  <c r="F134" i="11"/>
  <c r="F130" i="11"/>
  <c r="E130" i="11"/>
  <c r="F129" i="11"/>
  <c r="F128" i="11"/>
  <c r="E128" i="11"/>
  <c r="F127" i="11"/>
  <c r="F126" i="11"/>
  <c r="F125" i="11"/>
  <c r="F124" i="11"/>
  <c r="E124" i="11"/>
  <c r="F123" i="11"/>
  <c r="F122" i="11"/>
  <c r="E122" i="11"/>
  <c r="F121" i="11"/>
  <c r="F120" i="11"/>
  <c r="F119" i="11"/>
  <c r="M114" i="11"/>
  <c r="L114" i="11"/>
  <c r="F114" i="11"/>
  <c r="H114" i="11" s="1"/>
  <c r="K114" i="11" s="1"/>
  <c r="E114" i="11"/>
  <c r="D114" i="11"/>
  <c r="L113" i="11"/>
  <c r="M113" i="11" s="1"/>
  <c r="E113" i="11"/>
  <c r="F113" i="11" s="1"/>
  <c r="H113" i="11" s="1"/>
  <c r="K113" i="11" s="1"/>
  <c r="D113" i="11"/>
  <c r="M112" i="11"/>
  <c r="L112" i="11"/>
  <c r="E112" i="11"/>
  <c r="D112" i="11"/>
  <c r="L111" i="11"/>
  <c r="M111" i="11" s="1"/>
  <c r="E111" i="11"/>
  <c r="E127" i="11" s="1"/>
  <c r="D111" i="11"/>
  <c r="M110" i="11"/>
  <c r="L110" i="11"/>
  <c r="F110" i="11"/>
  <c r="E110" i="11"/>
  <c r="E126" i="11" s="1"/>
  <c r="D110" i="11"/>
  <c r="M109" i="11"/>
  <c r="L109" i="11"/>
  <c r="E109" i="11"/>
  <c r="F109" i="11" s="1"/>
  <c r="D109" i="11"/>
  <c r="M108" i="11"/>
  <c r="L108" i="11"/>
  <c r="F108" i="11"/>
  <c r="H108" i="11" s="1"/>
  <c r="K108" i="11" s="1"/>
  <c r="E108" i="11"/>
  <c r="D108" i="11"/>
  <c r="L107" i="11"/>
  <c r="M107" i="11" s="1"/>
  <c r="E107" i="11"/>
  <c r="E123" i="11" s="1"/>
  <c r="D107" i="11"/>
  <c r="M106" i="11"/>
  <c r="L106" i="11"/>
  <c r="E106" i="11"/>
  <c r="D106" i="11"/>
  <c r="L105" i="11"/>
  <c r="M105" i="11" s="1"/>
  <c r="E105" i="11"/>
  <c r="D105" i="11"/>
  <c r="M104" i="11"/>
  <c r="M115" i="11" s="1"/>
  <c r="L104" i="11"/>
  <c r="F104" i="11"/>
  <c r="E104" i="11"/>
  <c r="E120" i="11" s="1"/>
  <c r="D104" i="11"/>
  <c r="F103" i="11"/>
  <c r="F107" i="11" s="1"/>
  <c r="H107" i="11" s="1"/>
  <c r="K107" i="11" s="1"/>
  <c r="I99" i="11"/>
  <c r="H99" i="11"/>
  <c r="G99" i="11"/>
  <c r="F99" i="11"/>
  <c r="I98" i="11"/>
  <c r="H98" i="11"/>
  <c r="G98" i="11"/>
  <c r="F98" i="11"/>
  <c r="I97" i="11"/>
  <c r="H97" i="11"/>
  <c r="G97" i="11"/>
  <c r="F97" i="11"/>
  <c r="I96" i="11"/>
  <c r="H96" i="11"/>
  <c r="G96" i="11"/>
  <c r="F96" i="11"/>
  <c r="E96" i="11"/>
  <c r="J81" i="11"/>
  <c r="J83" i="11" s="1"/>
  <c r="J79" i="11"/>
  <c r="H46" i="11"/>
  <c r="J45" i="11"/>
  <c r="H45" i="11"/>
  <c r="J40" i="11"/>
  <c r="J25" i="11"/>
  <c r="C17" i="11"/>
  <c r="C46" i="11" s="1"/>
  <c r="C50" i="11" s="1"/>
  <c r="C16" i="11"/>
  <c r="C45" i="11" s="1"/>
  <c r="C49" i="11" s="1"/>
  <c r="J10" i="11"/>
  <c r="K10" i="11" s="1"/>
  <c r="J17" i="11" s="1"/>
  <c r="K17" i="11" s="1"/>
  <c r="H10" i="11"/>
  <c r="E10" i="11"/>
  <c r="L9" i="11"/>
  <c r="J9" i="11"/>
  <c r="K9" i="11" s="1"/>
  <c r="J16" i="11" s="1"/>
  <c r="H9" i="11"/>
  <c r="F9" i="11"/>
  <c r="J49" i="11" s="1"/>
  <c r="E9" i="11"/>
  <c r="L3" i="11"/>
  <c r="I159" i="11"/>
  <c r="G203" i="1"/>
  <c r="G202" i="1"/>
  <c r="G201" i="1"/>
  <c r="G200" i="1"/>
  <c r="G199" i="1"/>
  <c r="E185" i="1"/>
  <c r="K177" i="1"/>
  <c r="L173" i="1"/>
  <c r="I161" i="1"/>
  <c r="H161" i="1"/>
  <c r="F160" i="1"/>
  <c r="I159" i="1"/>
  <c r="H159" i="1"/>
  <c r="E159" i="1"/>
  <c r="F158" i="1"/>
  <c r="F162" i="1" s="1"/>
  <c r="K144" i="1"/>
  <c r="K145" i="1" s="1"/>
  <c r="K140" i="1"/>
  <c r="K139" i="1"/>
  <c r="K138" i="1"/>
  <c r="K134" i="1"/>
  <c r="K135" i="1" s="1"/>
  <c r="L133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D123" i="1"/>
  <c r="K123" i="1" s="1"/>
  <c r="F122" i="1"/>
  <c r="E122" i="1"/>
  <c r="F121" i="1"/>
  <c r="E121" i="1"/>
  <c r="D121" i="1"/>
  <c r="K121" i="1" s="1"/>
  <c r="F120" i="1"/>
  <c r="K120" i="1" s="1"/>
  <c r="E120" i="1"/>
  <c r="D120" i="1"/>
  <c r="L114" i="1"/>
  <c r="M114" i="1" s="1"/>
  <c r="H114" i="1"/>
  <c r="K114" i="1" s="1"/>
  <c r="F114" i="1"/>
  <c r="D114" i="1"/>
  <c r="L113" i="1"/>
  <c r="M113" i="1" s="1"/>
  <c r="F113" i="1"/>
  <c r="H113" i="1" s="1"/>
  <c r="K113" i="1" s="1"/>
  <c r="D113" i="1"/>
  <c r="L112" i="1"/>
  <c r="M112" i="1" s="1"/>
  <c r="H112" i="1"/>
  <c r="K112" i="1" s="1"/>
  <c r="F112" i="1"/>
  <c r="D112" i="1"/>
  <c r="L111" i="1"/>
  <c r="M111" i="1" s="1"/>
  <c r="F111" i="1"/>
  <c r="H111" i="1" s="1"/>
  <c r="K111" i="1" s="1"/>
  <c r="D111" i="1"/>
  <c r="L110" i="1"/>
  <c r="M110" i="1" s="1"/>
  <c r="F110" i="1"/>
  <c r="H110" i="1" s="1"/>
  <c r="K110" i="1" s="1"/>
  <c r="D110" i="1"/>
  <c r="L109" i="1"/>
  <c r="M109" i="1" s="1"/>
  <c r="F109" i="1"/>
  <c r="H109" i="1" s="1"/>
  <c r="K109" i="1" s="1"/>
  <c r="D109" i="1"/>
  <c r="L108" i="1"/>
  <c r="M108" i="1" s="1"/>
  <c r="H108" i="1"/>
  <c r="K108" i="1" s="1"/>
  <c r="F108" i="1"/>
  <c r="D108" i="1"/>
  <c r="D127" i="1" s="1"/>
  <c r="K127" i="1" s="1"/>
  <c r="L107" i="1"/>
  <c r="M107" i="1" s="1"/>
  <c r="F107" i="1"/>
  <c r="H107" i="1" s="1"/>
  <c r="K107" i="1" s="1"/>
  <c r="D107" i="1"/>
  <c r="L106" i="1"/>
  <c r="M106" i="1" s="1"/>
  <c r="H106" i="1"/>
  <c r="K106" i="1" s="1"/>
  <c r="F106" i="1"/>
  <c r="D106" i="1"/>
  <c r="L105" i="1"/>
  <c r="M105" i="1" s="1"/>
  <c r="H105" i="1"/>
  <c r="K105" i="1" s="1"/>
  <c r="F105" i="1"/>
  <c r="D105" i="1"/>
  <c r="L104" i="1"/>
  <c r="M104" i="1" s="1"/>
  <c r="M115" i="1" s="1"/>
  <c r="H104" i="1"/>
  <c r="K104" i="1" s="1"/>
  <c r="F104" i="1"/>
  <c r="D104" i="1"/>
  <c r="E99" i="1"/>
  <c r="K98" i="1"/>
  <c r="E98" i="1"/>
  <c r="K97" i="1"/>
  <c r="E97" i="1"/>
  <c r="K96" i="1"/>
  <c r="J79" i="1"/>
  <c r="J81" i="1" s="1"/>
  <c r="J83" i="1" s="1"/>
  <c r="J49" i="1"/>
  <c r="H46" i="1"/>
  <c r="H45" i="1"/>
  <c r="C45" i="1"/>
  <c r="C49" i="1" s="1"/>
  <c r="J40" i="1"/>
  <c r="J25" i="1"/>
  <c r="C17" i="1"/>
  <c r="C46" i="1" s="1"/>
  <c r="C50" i="1" s="1"/>
  <c r="J16" i="1"/>
  <c r="K16" i="1" s="1"/>
  <c r="C16" i="1"/>
  <c r="K10" i="1"/>
  <c r="J17" i="1" s="1"/>
  <c r="F10" i="1"/>
  <c r="K9" i="1"/>
  <c r="K144" i="11" l="1"/>
  <c r="K145" i="11" s="1"/>
  <c r="K141" i="1"/>
  <c r="K151" i="1" s="1"/>
  <c r="K45" i="11"/>
  <c r="F162" i="11"/>
  <c r="K46" i="1"/>
  <c r="K17" i="1"/>
  <c r="K19" i="1" s="1"/>
  <c r="K115" i="1"/>
  <c r="K99" i="1"/>
  <c r="D129" i="1"/>
  <c r="K129" i="1" s="1"/>
  <c r="K49" i="11"/>
  <c r="K97" i="11"/>
  <c r="E99" i="11"/>
  <c r="K96" i="11"/>
  <c r="L115" i="1"/>
  <c r="K45" i="1"/>
  <c r="D128" i="1"/>
  <c r="K128" i="1" s="1"/>
  <c r="D125" i="1"/>
  <c r="K125" i="1" s="1"/>
  <c r="D122" i="1"/>
  <c r="K122" i="1" s="1"/>
  <c r="E98" i="11"/>
  <c r="D124" i="1"/>
  <c r="K124" i="1" s="1"/>
  <c r="D126" i="1"/>
  <c r="K126" i="1" s="1"/>
  <c r="K131" i="1" s="1"/>
  <c r="D130" i="1"/>
  <c r="K130" i="1" s="1"/>
  <c r="K50" i="11"/>
  <c r="K98" i="11"/>
  <c r="F10" i="11"/>
  <c r="E97" i="11"/>
  <c r="K100" i="1"/>
  <c r="I134" i="11"/>
  <c r="K134" i="11" s="1"/>
  <c r="K135" i="11" s="1"/>
  <c r="K151" i="11" s="1"/>
  <c r="H138" i="11"/>
  <c r="K138" i="11" s="1"/>
  <c r="K141" i="11" s="1"/>
  <c r="H159" i="11"/>
  <c r="K46" i="11"/>
  <c r="K16" i="11"/>
  <c r="K19" i="11" s="1"/>
  <c r="L115" i="11"/>
  <c r="F111" i="11"/>
  <c r="H111" i="11" s="1"/>
  <c r="K111" i="11" s="1"/>
  <c r="D130" i="11"/>
  <c r="K130" i="11" s="1"/>
  <c r="D127" i="11"/>
  <c r="K127" i="11" s="1"/>
  <c r="D124" i="11"/>
  <c r="K124" i="11" s="1"/>
  <c r="D121" i="11"/>
  <c r="K121" i="11" s="1"/>
  <c r="D128" i="11"/>
  <c r="K128" i="11" s="1"/>
  <c r="D125" i="11"/>
  <c r="D122" i="11"/>
  <c r="K122" i="11" s="1"/>
  <c r="D129" i="11"/>
  <c r="D126" i="11"/>
  <c r="K126" i="11" s="1"/>
  <c r="D123" i="11"/>
  <c r="K123" i="11" s="1"/>
  <c r="D120" i="11"/>
  <c r="K120" i="11" s="1"/>
  <c r="E125" i="11"/>
  <c r="F105" i="11"/>
  <c r="H105" i="11" s="1"/>
  <c r="K105" i="11" s="1"/>
  <c r="H109" i="11"/>
  <c r="K109" i="11" s="1"/>
  <c r="E121" i="11"/>
  <c r="L133" i="11"/>
  <c r="L173" i="11"/>
  <c r="H104" i="11"/>
  <c r="K104" i="11" s="1"/>
  <c r="H110" i="11"/>
  <c r="K110" i="11" s="1"/>
  <c r="F106" i="11"/>
  <c r="H106" i="11" s="1"/>
  <c r="K106" i="11" s="1"/>
  <c r="F112" i="11"/>
  <c r="H112" i="11" s="1"/>
  <c r="K112" i="11" s="1"/>
  <c r="E129" i="11"/>
  <c r="K51" i="11" l="1"/>
  <c r="K57" i="11" s="1"/>
  <c r="K51" i="1"/>
  <c r="K57" i="1" s="1"/>
  <c r="K88" i="1"/>
  <c r="K80" i="1"/>
  <c r="K75" i="1"/>
  <c r="K65" i="1"/>
  <c r="K67" i="1" s="1"/>
  <c r="K26" i="1"/>
  <c r="K73" i="1"/>
  <c r="K62" i="1"/>
  <c r="K82" i="1"/>
  <c r="K77" i="1"/>
  <c r="K76" i="1"/>
  <c r="K63" i="1"/>
  <c r="K78" i="1"/>
  <c r="K66" i="1"/>
  <c r="K74" i="1"/>
  <c r="K25" i="1"/>
  <c r="M131" i="1"/>
  <c r="K146" i="1"/>
  <c r="K170" i="1" s="1"/>
  <c r="K115" i="11"/>
  <c r="K125" i="11"/>
  <c r="L151" i="11"/>
  <c r="M151" i="11" s="1"/>
  <c r="L153" i="11"/>
  <c r="K152" i="11"/>
  <c r="K131" i="11"/>
  <c r="M131" i="11" s="1"/>
  <c r="K77" i="11"/>
  <c r="K88" i="11"/>
  <c r="K80" i="11"/>
  <c r="K75" i="11"/>
  <c r="K65" i="11"/>
  <c r="K67" i="11" s="1"/>
  <c r="K74" i="11"/>
  <c r="K73" i="11"/>
  <c r="K63" i="11"/>
  <c r="K26" i="11"/>
  <c r="K25" i="11"/>
  <c r="K78" i="11"/>
  <c r="K76" i="11"/>
  <c r="K82" i="11"/>
  <c r="K66" i="11"/>
  <c r="K62" i="11"/>
  <c r="K99" i="11"/>
  <c r="K100" i="11" s="1"/>
  <c r="J150" i="1"/>
  <c r="L153" i="1"/>
  <c r="L151" i="1"/>
  <c r="M151" i="1" s="1"/>
  <c r="K152" i="1"/>
  <c r="K129" i="11"/>
  <c r="K27" i="11" l="1"/>
  <c r="J150" i="11"/>
  <c r="K146" i="11"/>
  <c r="K170" i="11" s="1"/>
  <c r="K34" i="11"/>
  <c r="I156" i="1"/>
  <c r="I156" i="11"/>
  <c r="K27" i="1"/>
  <c r="K36" i="11"/>
  <c r="K38" i="11"/>
  <c r="K33" i="11"/>
  <c r="K79" i="11"/>
  <c r="K81" i="11" s="1"/>
  <c r="K83" i="11" s="1"/>
  <c r="K91" i="11" s="1"/>
  <c r="K64" i="1"/>
  <c r="K68" i="1" s="1"/>
  <c r="K90" i="1" s="1"/>
  <c r="K64" i="11"/>
  <c r="K68" i="11"/>
  <c r="K90" i="11" s="1"/>
  <c r="K79" i="1"/>
  <c r="K81" i="1" s="1"/>
  <c r="K83" i="1" s="1"/>
  <c r="K91" i="1" s="1"/>
  <c r="K55" i="11" l="1"/>
  <c r="K35" i="11"/>
  <c r="K37" i="11"/>
  <c r="K39" i="11"/>
  <c r="K32" i="11"/>
  <c r="K40" i="11" s="1"/>
  <c r="K56" i="11" s="1"/>
  <c r="K58" i="11" s="1"/>
  <c r="K89" i="11" s="1"/>
  <c r="K92" i="11" s="1"/>
  <c r="K156" i="11"/>
  <c r="K156" i="1"/>
  <c r="I157" i="1" s="1"/>
  <c r="K55" i="1"/>
  <c r="K32" i="1"/>
  <c r="K38" i="1"/>
  <c r="K36" i="1"/>
  <c r="K34" i="1"/>
  <c r="K39" i="1"/>
  <c r="K33" i="1"/>
  <c r="K37" i="1"/>
  <c r="K35" i="1"/>
  <c r="K169" i="11" l="1"/>
  <c r="J149" i="11"/>
  <c r="K157" i="1"/>
  <c r="I158" i="1" s="1"/>
  <c r="K40" i="1"/>
  <c r="K56" i="1" s="1"/>
  <c r="K58" i="1" s="1"/>
  <c r="K89" i="1" s="1"/>
  <c r="K92" i="1" s="1"/>
  <c r="I157" i="11"/>
  <c r="K169" i="1" l="1"/>
  <c r="J149" i="1"/>
  <c r="K158" i="1"/>
  <c r="K157" i="11"/>
  <c r="J152" i="11"/>
  <c r="L149" i="11"/>
  <c r="M149" i="11" s="1"/>
  <c r="E186" i="1" l="1"/>
  <c r="H156" i="11"/>
  <c r="I160" i="1"/>
  <c r="K160" i="1" s="1"/>
  <c r="K162" i="1" s="1"/>
  <c r="J152" i="1"/>
  <c r="L149" i="1"/>
  <c r="M149" i="1" s="1"/>
  <c r="I158" i="11"/>
  <c r="E190" i="1" l="1"/>
  <c r="K174" i="1"/>
  <c r="K176" i="1"/>
  <c r="E191" i="1"/>
  <c r="H156" i="1"/>
  <c r="K158" i="11"/>
  <c r="E194" i="1"/>
  <c r="J156" i="11"/>
  <c r="H157" i="11" s="1"/>
  <c r="E187" i="1" l="1"/>
  <c r="E188" i="1"/>
  <c r="J156" i="1"/>
  <c r="E189" i="1"/>
  <c r="J157" i="11"/>
  <c r="H158" i="11" s="1"/>
  <c r="I160" i="11"/>
  <c r="K160" i="11" s="1"/>
  <c r="K162" i="11" s="1"/>
  <c r="E192" i="1"/>
  <c r="J158" i="11" l="1"/>
  <c r="H160" i="11" s="1"/>
  <c r="J160" i="11" s="1"/>
  <c r="K174" i="11"/>
  <c r="K176" i="11"/>
  <c r="E195" i="1" s="1"/>
  <c r="D193" i="1"/>
  <c r="H157" i="1"/>
  <c r="J162" i="11" l="1"/>
  <c r="K175" i="11" s="1"/>
  <c r="D195" i="1" s="1"/>
  <c r="E193" i="1"/>
  <c r="J157" i="1"/>
  <c r="H158" i="1" s="1"/>
  <c r="K171" i="11" l="1"/>
  <c r="K172" i="11" s="1"/>
  <c r="L172" i="11" s="1"/>
  <c r="D188" i="1"/>
  <c r="D190" i="1"/>
  <c r="J158" i="1"/>
  <c r="C193" i="1"/>
  <c r="C195" i="1" l="1"/>
  <c r="F195" i="1" s="1"/>
  <c r="K173" i="11"/>
  <c r="D192" i="1"/>
  <c r="C190" i="1"/>
  <c r="F193" i="1"/>
  <c r="A193" i="1"/>
  <c r="H160" i="1"/>
  <c r="J160" i="1" s="1"/>
  <c r="J162" i="1" s="1"/>
  <c r="D194" i="1"/>
  <c r="C188" i="1"/>
  <c r="D186" i="1"/>
  <c r="A195" i="1" l="1"/>
  <c r="K171" i="1"/>
  <c r="K172" i="1" s="1"/>
  <c r="K173" i="1" s="1"/>
  <c r="K175" i="1"/>
  <c r="D185" i="1" s="1"/>
  <c r="C185" i="1" s="1"/>
  <c r="F188" i="1"/>
  <c r="A188" i="1"/>
  <c r="C186" i="1"/>
  <c r="F190" i="1"/>
  <c r="A190" i="1"/>
  <c r="C194" i="1"/>
  <c r="C192" i="1"/>
  <c r="A192" i="1" l="1"/>
  <c r="F192" i="1"/>
  <c r="D189" i="1"/>
  <c r="D191" i="1"/>
  <c r="A185" i="1"/>
  <c r="F185" i="1"/>
  <c r="D187" i="1"/>
  <c r="F194" i="1"/>
  <c r="A194" i="1"/>
  <c r="A186" i="1"/>
  <c r="F186" i="1"/>
  <c r="C191" i="1" l="1"/>
  <c r="C189" i="1"/>
  <c r="C187" i="1"/>
  <c r="A191" i="1" l="1"/>
  <c r="F191" i="1"/>
  <c r="F189" i="1"/>
  <c r="A189" i="1"/>
  <c r="A187" i="1"/>
  <c r="F187" i="1"/>
</calcChain>
</file>

<file path=xl/sharedStrings.xml><?xml version="1.0" encoding="utf-8"?>
<sst xmlns="http://schemas.openxmlformats.org/spreadsheetml/2006/main" count="741" uniqueCount="277">
  <si>
    <t>CÁLCULO DO TRANSPORTE ESCOLAR - ROTEIRO RURAL</t>
  </si>
  <si>
    <t>até 36</t>
  </si>
  <si>
    <t>LUGARES</t>
  </si>
  <si>
    <t>MICRO-ÔNIBUS</t>
  </si>
  <si>
    <t xml:space="preserve">KM </t>
  </si>
  <si>
    <t>1 hora de locomoção</t>
  </si>
  <si>
    <t>1 - MÃO DE OBRA - MENSAL - Custo Fixo</t>
  </si>
  <si>
    <t>Informações iniciais</t>
  </si>
  <si>
    <t>Cargo</t>
  </si>
  <si>
    <t>Sindicato</t>
  </si>
  <si>
    <t>Convenção Coletiva</t>
  </si>
  <si>
    <t>Data base</t>
  </si>
  <si>
    <t>Salário 220 h/mês</t>
  </si>
  <si>
    <t>6 dias na semana</t>
  </si>
  <si>
    <t>44h</t>
  </si>
  <si>
    <t>Motorista(CBO xxx)</t>
  </si>
  <si>
    <t>SITRACOVER</t>
  </si>
  <si>
    <t>RS002118/2024</t>
  </si>
  <si>
    <t>01 de fevereiro 2024</t>
  </si>
  <si>
    <t>proporção do tempo</t>
  </si>
  <si>
    <t>Monitor (CBO XXX)</t>
  </si>
  <si>
    <t>Módulo 1 - Composição da Remuneração</t>
  </si>
  <si>
    <t>Composição da Remuneração</t>
  </si>
  <si>
    <t>Valor (R$)</t>
  </si>
  <si>
    <t>A</t>
  </si>
  <si>
    <t xml:space="preserve">Salário Base </t>
  </si>
  <si>
    <t>Quant. de func.</t>
  </si>
  <si>
    <t>Salário</t>
  </si>
  <si>
    <t>A.1</t>
  </si>
  <si>
    <t>A.2</t>
  </si>
  <si>
    <t>Total de Remuneração</t>
  </si>
  <si>
    <t>Módulo 2 - Encargos e Benefícios Anuais, Mensais e Diários</t>
  </si>
  <si>
    <t>Submódulo 2.1 - 13º Salário e Adicional de Férias</t>
  </si>
  <si>
    <t>2.1</t>
  </si>
  <si>
    <t>13º e Adicional de Férias</t>
  </si>
  <si>
    <t>%</t>
  </si>
  <si>
    <t>13º Salário</t>
  </si>
  <si>
    <t>B</t>
  </si>
  <si>
    <t>Adicional de Férias</t>
  </si>
  <si>
    <t>Total</t>
  </si>
  <si>
    <t>Observação: foram adotados índices do Manual de Preenchimento do Modelo de Planilhas de Custos e de Formação de Preços do STJ - Portaria STJ/GDG n° 410 de 15.07.2020</t>
  </si>
  <si>
    <t>Submódulo 2.2 - Encargos Previdenciários (GPS), Fundo de Garantia por Tempo de Serviço (FGTS) e outras contribuições</t>
  </si>
  <si>
    <t>2.2</t>
  </si>
  <si>
    <t>GPS, FGTS e outras contribuições</t>
  </si>
  <si>
    <t>INSS (Art. 22, Inciso I, da Lei n. ° 8.212/91)</t>
  </si>
  <si>
    <t>SESI ou SESC (Art. 3° Lei n.° 8.036/90)</t>
  </si>
  <si>
    <t>C</t>
  </si>
  <si>
    <t>SENAI ou SENAC (Decreto n.° 2.318/86)</t>
  </si>
  <si>
    <t>D</t>
  </si>
  <si>
    <t>INCRA (Lei n.° 7.787/89 e DL n.° 1.146/70)</t>
  </si>
  <si>
    <t>E</t>
  </si>
  <si>
    <t>Salário Educação (Art. 3°, Inciso I, Decreto n.° 87.043/82)</t>
  </si>
  <si>
    <t>F</t>
  </si>
  <si>
    <t>FGTS (Art. 15 Lei n.° 8.030/90 e art. 7°, III, CF)</t>
  </si>
  <si>
    <t>G</t>
  </si>
  <si>
    <t>Risco de Acidente do Trabalho - RAT</t>
  </si>
  <si>
    <t>H</t>
  </si>
  <si>
    <t>SEBRAE (Art. 8° Lei 8.029/90 e n.° 8.154/90)</t>
  </si>
  <si>
    <t>Submódulo 2.3 - Benefícios Mensais e Diários.</t>
  </si>
  <si>
    <t>2.3</t>
  </si>
  <si>
    <t>Benefícios Mensais e Diários</t>
  </si>
  <si>
    <t>Transporte - (Valor Passagemx2 unid/dia) - (Sal. base x 6%)</t>
  </si>
  <si>
    <t>Quant. de Funcionários</t>
  </si>
  <si>
    <t>Valor da Passagem</t>
  </si>
  <si>
    <r>
      <rPr>
        <sz val="10"/>
        <color rgb="FF000000"/>
        <rFont val="Arial"/>
        <family val="2"/>
        <charset val="1"/>
      </rPr>
      <t xml:space="preserve">Obs.: valor atual da passagem conforme </t>
    </r>
    <r>
      <rPr>
        <b/>
        <sz val="10"/>
        <color rgb="FF000000"/>
        <rFont val="Arial"/>
        <family val="2"/>
        <charset val="1"/>
      </rPr>
      <t>Decreto Municipal nº 100/2023.</t>
    </r>
    <r>
      <rPr>
        <sz val="10"/>
        <color rgb="FF000000"/>
        <rFont val="Arial"/>
        <family val="2"/>
        <charset val="1"/>
      </rPr>
      <t xml:space="preserve"> </t>
    </r>
  </si>
  <si>
    <t>Auxílio-Refeição/Alimentação</t>
  </si>
  <si>
    <t>Valor da Convenção</t>
  </si>
  <si>
    <t>B.1</t>
  </si>
  <si>
    <t>DESCONTO DE R$ 20,00</t>
  </si>
  <si>
    <t>B.2</t>
  </si>
  <si>
    <t>Quadro-Resumo do Módulo 2 - Encargos e Benefícios anuais, mensais e diários</t>
  </si>
  <si>
    <t>Encargos e Benefícios Anuais, Mensais e Diários</t>
  </si>
  <si>
    <t>13º Salário e Adicional de Férias</t>
  </si>
  <si>
    <t xml:space="preserve"> Módulo 3 - Provisão para Rescisão</t>
  </si>
  <si>
    <t xml:space="preserve">Provisão para Rescisão </t>
  </si>
  <si>
    <t>Aviso Prévio Indenizado. Cálculo: (1/12)x0,05x100=0,42% incidente sobre o total da Remuneração</t>
  </si>
  <si>
    <t xml:space="preserve">Incidência do FGTS sobre o Aviso Prévio Indenizado. Cálculo: 0,0042×0,08×100≈0,0336% </t>
  </si>
  <si>
    <t>Multa do FGTS sobre o Aviso Prévio Indenizado. Cálculo: [1+(2/12)+((1/3)*(1/12))]*0,08*0,4*0,9*100≈3,44%</t>
  </si>
  <si>
    <t>Aviso Prévio Trabalhado. Cálculo: ((7/30)/12)x100=1,94% incidente sobre o total da Remuneração (*)</t>
  </si>
  <si>
    <t>Incidência dos encargos do submódulo 2.2 sobre o Aviso Prévio Trabalhado. Cálculo: 36,80%×1,94%≈0,72%</t>
  </si>
  <si>
    <t>Multa do FGTS e contribuição social sobre o Aviso Prévio Trabalhado. Cálculo: 0,0194×0,08×0,4×100≈0,062%</t>
  </si>
  <si>
    <t>(*)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12.506/2011.</t>
  </si>
  <si>
    <t>Módulo 4 - Custo de Reposição do Profissional Ausente</t>
  </si>
  <si>
    <t>4.1</t>
  </si>
  <si>
    <t>Itens de custo (descrição)</t>
  </si>
  <si>
    <t>Valor</t>
  </si>
  <si>
    <t>Substituição durante as férias. Cálculo: (1/12)*100  / x 100</t>
  </si>
  <si>
    <t>Substituição durante ausência por doença. Cálculo: (5÷30÷12) = 1,39% (estimativa de 5 dias de licença por ano)</t>
  </si>
  <si>
    <t>Substituição durante licença maternidade. Cálculo: 11,11%×5,28%×50%≅0,29%</t>
  </si>
  <si>
    <t>Substituição durante licença paternidade. Cálculo: (5÷30÷12)×0,015×100≅0,02%</t>
  </si>
  <si>
    <t>Substituição durante ausências legais. Cálculo: (1÷30÷12)×100≅0,28%</t>
  </si>
  <si>
    <t>Substituição durante ausência por acidente de trabalho. Cálculo: (1 ÷ 12)×0,0178×100≅0,07%</t>
  </si>
  <si>
    <t>Subtotal antes da incidência de Proporcional de Férias, 1/3 e 13° sobre custo de reposição</t>
  </si>
  <si>
    <t>Proporcional de Férias, 1/3 e 13° sobre custo de reposição (exceto licença maternidade)</t>
  </si>
  <si>
    <t>Subtotal antes da incidência do Submódulo 2.2</t>
  </si>
  <si>
    <t>Incidência do Submódulo 2.2</t>
  </si>
  <si>
    <t>Resumo do Custo da Mão de Obra - Mensal (Custo Fixo)</t>
  </si>
  <si>
    <t>Mão de obra vinculada à execução contratual</t>
  </si>
  <si>
    <t>Módulo 3 - Provisão para Rescisão</t>
  </si>
  <si>
    <t>Subtotal (A+B+C+D)</t>
  </si>
  <si>
    <t>2 - INSUMOS DIVERSOS - MENSAL</t>
  </si>
  <si>
    <t>Taxas Diversas - Custo Fixo</t>
  </si>
  <si>
    <t>Quant. mensal</t>
  </si>
  <si>
    <t>Unid.</t>
  </si>
  <si>
    <t>Valor Unitário</t>
  </si>
  <si>
    <t>Fonte</t>
  </si>
  <si>
    <t>Valor mensal</t>
  </si>
  <si>
    <t>Seguro DPVAT</t>
  </si>
  <si>
    <t>Taxa</t>
  </si>
  <si>
    <t>Licenciamento DETRAN</t>
  </si>
  <si>
    <t>PORTARIA DETRAN/RS Nº 054/2024.</t>
  </si>
  <si>
    <t>https://publicacoeslegais.detran.rs.gov.br/portaria-detran-rs-n-561-2023-65a585c5d6e37-65ba6b38690c9-65ba6c3ed2aae-65ba70fbde7bd-65ba7149c3662-65ba7553d9819--65bbfd5f5928b</t>
  </si>
  <si>
    <t>A.3</t>
  </si>
  <si>
    <t>Taxa Vistoria PMSM - Semestral</t>
  </si>
  <si>
    <t>A.4</t>
  </si>
  <si>
    <t>Inspeção veicular</t>
  </si>
  <si>
    <t>Depreciação - Custo Fixo</t>
  </si>
  <si>
    <t>Valor veículo</t>
  </si>
  <si>
    <t xml:space="preserve">Valor Residual </t>
  </si>
  <si>
    <t>Valor Depreciável</t>
  </si>
  <si>
    <t>Indicador de idade do veículo</t>
  </si>
  <si>
    <t>prova real</t>
  </si>
  <si>
    <t>Idade do veículo</t>
  </si>
  <si>
    <t>% de depreciação</t>
  </si>
  <si>
    <t xml:space="preserve">FIPE </t>
  </si>
  <si>
    <t>SOMA DOS DIGITOS</t>
  </si>
  <si>
    <t>Veiculo de 0 a 1 ano</t>
  </si>
  <si>
    <t>ONIBUS 36L</t>
  </si>
  <si>
    <t>Veiculo de 1 a 2 anos</t>
  </si>
  <si>
    <t>B.3</t>
  </si>
  <si>
    <t>Veiculo de 2 a 3 anos</t>
  </si>
  <si>
    <t>B.4</t>
  </si>
  <si>
    <t>Veiculo de 3 a 4 anos</t>
  </si>
  <si>
    <t>B.5</t>
  </si>
  <si>
    <t>Veiculo de 4 a 5 anos</t>
  </si>
  <si>
    <t>B.6</t>
  </si>
  <si>
    <t>Veiculo de 5 a 6 anos</t>
  </si>
  <si>
    <t>B.7</t>
  </si>
  <si>
    <t>Veiculo de 6 a 7 anos</t>
  </si>
  <si>
    <t>B.8</t>
  </si>
  <si>
    <t>Veiculo de 7 a 8 anos</t>
  </si>
  <si>
    <t>B.9</t>
  </si>
  <si>
    <t>Veiculo de 8 a 9 anos</t>
  </si>
  <si>
    <t>B10</t>
  </si>
  <si>
    <t>Veiculo de 9 a 10 ano</t>
  </si>
  <si>
    <t>B.11</t>
  </si>
  <si>
    <t>Veiculo acima de 10 anos</t>
  </si>
  <si>
    <t xml:space="preserve">Observação: foI utilizado o Método de Cole, e o valor residual de 15 por cento. </t>
  </si>
  <si>
    <t>Remuneração do Capital - Custo Fixo</t>
  </si>
  <si>
    <t>Valor Selic</t>
  </si>
  <si>
    <t>BCB</t>
  </si>
  <si>
    <t>Reunião do copom 19/06/24</t>
  </si>
  <si>
    <t>https://www.bcb.gov.br/</t>
  </si>
  <si>
    <t>C.1</t>
  </si>
  <si>
    <t>do Copom</t>
  </si>
  <si>
    <t>C.2</t>
  </si>
  <si>
    <t>C.3</t>
  </si>
  <si>
    <t>C.4</t>
  </si>
  <si>
    <t>C.5</t>
  </si>
  <si>
    <t>C.6</t>
  </si>
  <si>
    <t>C.7</t>
  </si>
  <si>
    <t>C.8</t>
  </si>
  <si>
    <t>C.9</t>
  </si>
  <si>
    <t>C.10</t>
  </si>
  <si>
    <t>C.11</t>
  </si>
  <si>
    <t>Combustível - Custo Variável</t>
  </si>
  <si>
    <t>Km/Dia</t>
  </si>
  <si>
    <t>Dias/Mês</t>
  </si>
  <si>
    <t>Valor Litro</t>
  </si>
  <si>
    <t>Consumo</t>
  </si>
  <si>
    <t>D.1</t>
  </si>
  <si>
    <t>Diesel</t>
  </si>
  <si>
    <t>https://www.gov.br/anp/pt-br/assuntos/precos-e-defesa-da-concorrencia/precos/levantamento-de-precos-de-combustiveis-ultimas-semanas-pesquisadas</t>
  </si>
  <si>
    <t>23/06/2024 a 29/06/2024</t>
  </si>
  <si>
    <t>Outros  - Custo Variável</t>
  </si>
  <si>
    <t>Valor unit.</t>
  </si>
  <si>
    <t>E.1</t>
  </si>
  <si>
    <t xml:space="preserve">Manutenção Mecânica incluindo peças e óleos lubrificantes. </t>
  </si>
  <si>
    <t>Serviço</t>
  </si>
  <si>
    <t>VALOR DE MANUTENÇÃO APRESENTADO PELA FABRICANTE</t>
  </si>
  <si>
    <t>A CADA 20MIL KM</t>
  </si>
  <si>
    <t>E.2</t>
  </si>
  <si>
    <t>Lavagem e Higienização dos veículos</t>
  </si>
  <si>
    <t>PROCESSO 717/2023</t>
  </si>
  <si>
    <t>E.3</t>
  </si>
  <si>
    <t>Pneus 235/75/17,5</t>
  </si>
  <si>
    <t>Unidade</t>
  </si>
  <si>
    <t>PROCESSO 47/2023</t>
  </si>
  <si>
    <t>ITEM 85</t>
  </si>
  <si>
    <t>Outros  - Custo Fixo</t>
  </si>
  <si>
    <t>F.1</t>
  </si>
  <si>
    <t>Sistema de Rastreamento Veícular</t>
  </si>
  <si>
    <t>apostilamento 08/2023</t>
  </si>
  <si>
    <t>Total de Insumos diversos</t>
  </si>
  <si>
    <t>3 - RESUMO DO CUSTO MENSAL</t>
  </si>
  <si>
    <t>Mão de obra - Custo Fixo</t>
  </si>
  <si>
    <t>Insumos diversos - Custo Fixo</t>
  </si>
  <si>
    <t>Insumos diversos - Custo Variável</t>
  </si>
  <si>
    <t>Subtotal (A+B+C)</t>
  </si>
  <si>
    <t>4 - CUSTOS INDIRETOS, LUCRO E TRIBUTOS SOBRE O CUSTO MENSAL</t>
  </si>
  <si>
    <t>Custos Indiretos, Tributos e Lucro</t>
  </si>
  <si>
    <t>Descrição</t>
  </si>
  <si>
    <t>Base de Cálculo</t>
  </si>
  <si>
    <t xml:space="preserve">Valor CF </t>
  </si>
  <si>
    <t>Valor CV</t>
  </si>
  <si>
    <t>Custos indiretos (Despesas operacionais e administrativas)</t>
  </si>
  <si>
    <t>Lucro</t>
  </si>
  <si>
    <t>Tabela do Simples Nacional</t>
  </si>
  <si>
    <t>Anexo III</t>
  </si>
  <si>
    <t>Custo mensal + custos indiretos + lucro</t>
  </si>
  <si>
    <t>Parcela Redutora (PR)</t>
  </si>
  <si>
    <r>
      <rPr>
        <sz val="10"/>
        <color rgb="FF000000"/>
        <rFont val="Arial"/>
        <family val="2"/>
        <charset val="1"/>
      </rPr>
      <t>F= 1-(</t>
    </r>
    <r>
      <rPr>
        <sz val="10"/>
        <color rgb="FFFF0000"/>
        <rFont val="Arial"/>
        <family val="2"/>
        <charset val="1"/>
      </rPr>
      <t>11,20</t>
    </r>
    <r>
      <rPr>
        <sz val="10"/>
        <color rgb="FF000000"/>
        <rFont val="Arial"/>
        <family val="2"/>
        <charset val="1"/>
      </rPr>
      <t>/100)-(PR/12)</t>
    </r>
  </si>
  <si>
    <t>Tributo Municipal</t>
  </si>
  <si>
    <t>ISS</t>
  </si>
  <si>
    <t>Custo mensal + custos indiretos + lucro + tributos federais</t>
  </si>
  <si>
    <r>
      <rPr>
        <sz val="10"/>
        <color rgb="FF000000"/>
        <rFont val="Arial"/>
        <family val="2"/>
        <charset val="1"/>
      </rPr>
      <t>F= 1-(</t>
    </r>
    <r>
      <rPr>
        <sz val="10"/>
        <color rgb="FFFF0000"/>
        <rFont val="Arial"/>
        <family val="2"/>
        <charset val="1"/>
      </rPr>
      <t>2,50</t>
    </r>
    <r>
      <rPr>
        <sz val="10"/>
        <color rgb="FF000000"/>
        <rFont val="Arial"/>
        <family val="2"/>
        <charset val="1"/>
      </rPr>
      <t>/100)</t>
    </r>
  </si>
  <si>
    <t>TOTAL</t>
  </si>
  <si>
    <r>
      <rPr>
        <sz val="10"/>
        <color rgb="FF000000"/>
        <rFont val="Arial"/>
        <family val="2"/>
        <charset val="1"/>
      </rPr>
      <t xml:space="preserve">Observação: </t>
    </r>
    <r>
      <rPr>
        <b/>
        <sz val="10"/>
        <color rgb="FF000000"/>
        <rFont val="Arial"/>
        <family val="2"/>
        <charset val="1"/>
      </rPr>
      <t>Índices C</t>
    </r>
    <r>
      <rPr>
        <sz val="10"/>
        <color rgb="FF000000"/>
        <rFont val="Arial"/>
        <family val="2"/>
        <charset val="1"/>
      </rPr>
      <t>,  Lei nº 10.637/02, art. 2º e Lei 10.833/03, art. 2º.</t>
    </r>
  </si>
  <si>
    <r>
      <rPr>
        <sz val="10"/>
        <color rgb="FF000000"/>
        <rFont val="Arial"/>
        <family val="2"/>
        <charset val="1"/>
      </rPr>
      <t xml:space="preserve">Observação: </t>
    </r>
    <r>
      <rPr>
        <b/>
        <sz val="10"/>
        <color rgb="FF000000"/>
        <rFont val="Arial"/>
        <family val="2"/>
        <charset val="1"/>
      </rPr>
      <t>Índices D</t>
    </r>
    <r>
      <rPr>
        <sz val="10"/>
        <color rgb="FF000000"/>
        <rFont val="Arial"/>
        <family val="2"/>
        <charset val="1"/>
      </rPr>
      <t>,  Lei Complementar nº 2/01, de 28-12-2001, 2 Tabela II; 2 Imposto sobre Serviços de Qualquer Natureza; 3. USSQN - Homologado; 16.01.02</t>
    </r>
  </si>
  <si>
    <t>5 - CÁLCULO DO ROTEIRO</t>
  </si>
  <si>
    <t>Mão de obra</t>
  </si>
  <si>
    <t>Insumos diversos</t>
  </si>
  <si>
    <t>Custos indiretos, tributos e lucro</t>
  </si>
  <si>
    <t>Total mensal</t>
  </si>
  <si>
    <t>Valor do Km rodado</t>
  </si>
  <si>
    <t>KM/MÊS</t>
  </si>
  <si>
    <t>Valor do custo variável do Km rodado C/BDI</t>
  </si>
  <si>
    <t>Custo Fixo do Roteiro</t>
  </si>
  <si>
    <t>Custo Variável do Roteiro</t>
  </si>
  <si>
    <t>Custo Variável do Roteiro Arredondado (R$ 3,12 X 2.240 km)</t>
  </si>
  <si>
    <t>R$ 4,30 x 1.264 km</t>
  </si>
  <si>
    <t>Santa Maria, 24 de agosto de 2024.</t>
  </si>
  <si>
    <t>Jean Alexandre Pezzini</t>
  </si>
  <si>
    <t>Contador - Matrícula 17.063-1</t>
  </si>
  <si>
    <t>Valor total</t>
  </si>
  <si>
    <t>CF</t>
  </si>
  <si>
    <t>CV</t>
  </si>
  <si>
    <t>CTR 12 Meses</t>
  </si>
  <si>
    <t>Tabela SN</t>
  </si>
  <si>
    <t xml:space="preserve">TURAMENTO </t>
  </si>
  <si>
    <t xml:space="preserve">FATURAMENTO </t>
  </si>
  <si>
    <t xml:space="preserve">ALIQUOTA </t>
  </si>
  <si>
    <t xml:space="preserve">VALOR </t>
  </si>
  <si>
    <t>PARCELA REDUTORA</t>
  </si>
  <si>
    <t>Redutora Mês</t>
  </si>
  <si>
    <t xml:space="preserve">- </t>
  </si>
  <si>
    <t xml:space="preserve">R$ 180.000,00 </t>
  </si>
  <si>
    <t xml:space="preserve">6,00% </t>
  </si>
  <si>
    <t xml:space="preserve">6,00 </t>
  </si>
  <si>
    <t>R$ -</t>
  </si>
  <si>
    <t xml:space="preserve">180.000,00 </t>
  </si>
  <si>
    <t xml:space="preserve">R$ 360.000,00 </t>
  </si>
  <si>
    <t xml:space="preserve">11,20% </t>
  </si>
  <si>
    <t xml:space="preserve">0,00 </t>
  </si>
  <si>
    <t>R$ 9.360,00</t>
  </si>
  <si>
    <t xml:space="preserve">360.000,00 </t>
  </si>
  <si>
    <t xml:space="preserve">R$ 720.000,00 </t>
  </si>
  <si>
    <t xml:space="preserve">13,50% </t>
  </si>
  <si>
    <t>R$ 17.640,00</t>
  </si>
  <si>
    <t xml:space="preserve">720.000,00 </t>
  </si>
  <si>
    <t xml:space="preserve">R$ 1.800.000,00 </t>
  </si>
  <si>
    <t xml:space="preserve">16,00% </t>
  </si>
  <si>
    <t>R$ 35.640,00</t>
  </si>
  <si>
    <t xml:space="preserve">1.800.000,00 </t>
  </si>
  <si>
    <t xml:space="preserve">R$ 3.600.000,00 </t>
  </si>
  <si>
    <t xml:space="preserve">21,00% </t>
  </si>
  <si>
    <t>R$ 125.640,00</t>
  </si>
  <si>
    <t xml:space="preserve">3.600.000,00 </t>
  </si>
  <si>
    <t xml:space="preserve">R$ 4.800.000,00 </t>
  </si>
  <si>
    <t xml:space="preserve">33,00% </t>
  </si>
  <si>
    <t>R$ 648.000,00</t>
  </si>
  <si>
    <t>TABELA DO SIMPLES ANEXO III - 2024</t>
  </si>
  <si>
    <t>https://www.contabilizei.com.br/contabilidade-online/anexo-3-simples-nacional/</t>
  </si>
  <si>
    <t>VAM 20 L</t>
  </si>
  <si>
    <t>VAM 16 L</t>
  </si>
  <si>
    <t>Pneus 195/75/16</t>
  </si>
  <si>
    <t>ITEM 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</si>
</sst>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&quot;R$ &quot;#,##0.00"/>
    <numFmt numFmtId="165" formatCode="_ &quot;R$ &quot;* #,##0.00_ ;_ &quot;R$ &quot;* \-#,##0.00_ ;_ &quot;R$ &quot;* \-??_ ;_ @_ "/>
    <numFmt numFmtId="166" formatCode="&quot;R$ &quot;#,##0.00;&quot;R$ -&quot;#,##0.00"/>
    <numFmt numFmtId="167" formatCode="0.0000"/>
    <numFmt numFmtId="168" formatCode="0.000"/>
    <numFmt numFmtId="169" formatCode="_-* #,##0.00_-;\-* #,##0.00_-;_-* \-??_-;_-@"/>
    <numFmt numFmtId="170" formatCode="_-&quot;R$ &quot;* #,##0.00_-;&quot;-R$ &quot;* #,##0.00_-;_-&quot;R$ &quot;* \-??_-;_-@"/>
    <numFmt numFmtId="171" formatCode="0.000000%"/>
    <numFmt numFmtId="172" formatCode="d/m/yyyy"/>
    <numFmt numFmtId="173" formatCode="_ * #,##0.00_ ;_ * \-#,##0.00_ ;_ * \-??_ ;_ @_ "/>
    <numFmt numFmtId="174" formatCode="#,##0.0000"/>
    <numFmt numFmtId="175" formatCode="[$R$-416]\ #,##0.00;[Red]\-[$R$-416]\ #,##0.00"/>
  </numFmts>
  <fonts count="16">
    <font>
      <sz val="11"/>
      <color rgb="FF000000"/>
      <name val="Calibri"/>
      <charset val="1"/>
    </font>
    <font>
      <sz val="10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FF0000"/>
      <name val="Arial"/>
      <family val="2"/>
      <charset val="1"/>
    </font>
    <font>
      <sz val="10"/>
      <name val="Calibri"/>
      <family val="2"/>
      <charset val="1"/>
    </font>
    <font>
      <sz val="10"/>
      <color rgb="FF333333"/>
      <name val="Roboto"/>
      <charset val="1"/>
    </font>
    <font>
      <u/>
      <sz val="10"/>
      <color rgb="FF0000FF"/>
      <name val="Arial"/>
      <family val="2"/>
      <charset val="1"/>
    </font>
    <font>
      <sz val="10"/>
      <color rgb="FF1F1F1F"/>
      <name val="Arial"/>
      <family val="2"/>
      <charset val="1"/>
    </font>
    <font>
      <sz val="10"/>
      <color rgb="FF606060"/>
      <name val="Ubuntu"/>
      <charset val="1"/>
    </font>
    <font>
      <u/>
      <sz val="10"/>
      <color rgb="FF0563C1"/>
      <name val="Calibri"/>
      <family val="2"/>
      <charset val="1"/>
    </font>
    <font>
      <sz val="10"/>
      <color rgb="FF555555"/>
      <name val="Rawline"/>
      <charset val="1"/>
    </font>
    <font>
      <sz val="11"/>
      <color rgb="FF000000"/>
      <name val="Calibri"/>
      <family val="2"/>
      <charset val="1"/>
    </font>
    <font>
      <b/>
      <sz val="1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1"/>
      <color rgb="FF000000"/>
      <name val="Calibri"/>
      <charset val="1"/>
    </font>
  </fonts>
  <fills count="9">
    <fill>
      <patternFill patternType="none"/>
    </fill>
    <fill>
      <patternFill patternType="gray125"/>
    </fill>
    <fill>
      <patternFill patternType="solid">
        <fgColor rgb="FF33CCFF"/>
        <bgColor rgb="FF00CCFF"/>
      </patternFill>
    </fill>
    <fill>
      <patternFill patternType="solid">
        <fgColor rgb="FFFFFFFF"/>
        <bgColor rgb="FFFFFFCC"/>
      </patternFill>
    </fill>
    <fill>
      <patternFill patternType="solid">
        <fgColor rgb="FFBFBFBF"/>
        <bgColor rgb="FFCCCCFF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CC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4">
    <xf numFmtId="0" fontId="0" fillId="0" borderId="0"/>
    <xf numFmtId="173" fontId="12" fillId="0" borderId="0" applyBorder="0" applyProtection="0"/>
    <xf numFmtId="165" fontId="12" fillId="0" borderId="0" applyBorder="0" applyProtection="0"/>
    <xf numFmtId="9" fontId="15" fillId="0" borderId="0" applyBorder="0" applyProtection="0"/>
  </cellStyleXfs>
  <cellXfs count="18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/>
    <xf numFmtId="0" fontId="2" fillId="3" borderId="0" xfId="0" applyFont="1" applyFill="1" applyBorder="1"/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wrapText="1"/>
    </xf>
    <xf numFmtId="0" fontId="4" fillId="5" borderId="5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4" fillId="5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5" borderId="0" xfId="0" applyFont="1" applyFill="1" applyBorder="1"/>
    <xf numFmtId="0" fontId="2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 wrapText="1"/>
    </xf>
    <xf numFmtId="0" fontId="5" fillId="0" borderId="6" xfId="0" applyFont="1" applyBorder="1"/>
    <xf numFmtId="0" fontId="2" fillId="0" borderId="1" xfId="0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center"/>
    </xf>
    <xf numFmtId="16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5" fontId="2" fillId="0" borderId="0" xfId="0" applyNumberFormat="1" applyFont="1"/>
    <xf numFmtId="165" fontId="3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166" fontId="2" fillId="0" borderId="0" xfId="0" applyNumberFormat="1" applyFont="1" applyAlignment="1">
      <alignment horizontal="center" vertical="center" wrapText="1"/>
    </xf>
    <xf numFmtId="166" fontId="2" fillId="0" borderId="0" xfId="0" applyNumberFormat="1" applyFont="1"/>
    <xf numFmtId="164" fontId="2" fillId="0" borderId="0" xfId="0" applyNumberFormat="1" applyFont="1"/>
    <xf numFmtId="0" fontId="2" fillId="0" borderId="1" xfId="0" applyFont="1" applyBorder="1"/>
    <xf numFmtId="166" fontId="3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6" fontId="1" fillId="0" borderId="0" xfId="0" applyNumberFormat="1" applyFont="1"/>
    <xf numFmtId="4" fontId="2" fillId="0" borderId="0" xfId="0" applyNumberFormat="1" applyFont="1" applyAlignment="1">
      <alignment horizontal="center"/>
    </xf>
    <xf numFmtId="167" fontId="2" fillId="0" borderId="1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166" fontId="2" fillId="0" borderId="5" xfId="0" applyNumberFormat="1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2" fontId="3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/>
    </xf>
    <xf numFmtId="16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6" fillId="3" borderId="0" xfId="0" applyFont="1" applyFill="1" applyBorder="1"/>
    <xf numFmtId="0" fontId="7" fillId="0" borderId="0" xfId="0" applyFont="1"/>
    <xf numFmtId="4" fontId="3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/>
    <xf numFmtId="10" fontId="1" fillId="0" borderId="1" xfId="0" applyNumberFormat="1" applyFont="1" applyBorder="1"/>
    <xf numFmtId="170" fontId="2" fillId="0" borderId="1" xfId="0" applyNumberFormat="1" applyFont="1" applyBorder="1" applyAlignment="1"/>
    <xf numFmtId="170" fontId="2" fillId="0" borderId="1" xfId="0" applyNumberFormat="1" applyFont="1" applyBorder="1"/>
    <xf numFmtId="10" fontId="2" fillId="0" borderId="0" xfId="0" applyNumberFormat="1" applyFont="1"/>
    <xf numFmtId="0" fontId="9" fillId="3" borderId="0" xfId="0" applyFont="1" applyFill="1" applyAlignment="1">
      <alignment horizontal="left"/>
    </xf>
    <xf numFmtId="0" fontId="7" fillId="0" borderId="0" xfId="0" applyFont="1" applyAlignment="1"/>
    <xf numFmtId="172" fontId="9" fillId="3" borderId="0" xfId="0" applyNumberFormat="1" applyFont="1" applyFill="1" applyAlignment="1">
      <alignment horizontal="left"/>
    </xf>
    <xf numFmtId="0" fontId="3" fillId="0" borderId="0" xfId="0" applyFont="1"/>
    <xf numFmtId="164" fontId="2" fillId="5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11" fillId="3" borderId="0" xfId="0" applyFont="1" applyFill="1" applyBorder="1"/>
    <xf numFmtId="164" fontId="2" fillId="3" borderId="1" xfId="0" applyNumberFormat="1" applyFont="1" applyFill="1" applyBorder="1" applyAlignment="1">
      <alignment horizontal="center" vertical="center" wrapText="1"/>
    </xf>
    <xf numFmtId="165" fontId="2" fillId="0" borderId="0" xfId="2" applyFont="1" applyBorder="1" applyAlignment="1" applyProtection="1"/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5" fillId="0" borderId="3" xfId="0" applyFont="1" applyBorder="1"/>
    <xf numFmtId="164" fontId="2" fillId="0" borderId="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13" fillId="0" borderId="1" xfId="0" applyNumberFormat="1" applyFont="1" applyBorder="1" applyAlignment="1"/>
    <xf numFmtId="164" fontId="3" fillId="0" borderId="6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173" fontId="2" fillId="0" borderId="0" xfId="0" applyNumberFormat="1" applyFont="1"/>
    <xf numFmtId="10" fontId="2" fillId="5" borderId="4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Border="1" applyAlignment="1"/>
    <xf numFmtId="164" fontId="2" fillId="0" borderId="1" xfId="0" applyNumberFormat="1" applyFont="1" applyBorder="1" applyAlignment="1"/>
    <xf numFmtId="10" fontId="2" fillId="5" borderId="6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2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174" fontId="4" fillId="0" borderId="6" xfId="0" applyNumberFormat="1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164" fontId="2" fillId="0" borderId="1" xfId="0" applyNumberFormat="1" applyFont="1" applyBorder="1"/>
    <xf numFmtId="166" fontId="2" fillId="0" borderId="1" xfId="0" applyNumberFormat="1" applyFont="1" applyBorder="1"/>
    <xf numFmtId="164" fontId="3" fillId="0" borderId="1" xfId="0" applyNumberFormat="1" applyFont="1" applyBorder="1"/>
    <xf numFmtId="173" fontId="2" fillId="0" borderId="0" xfId="1" applyFont="1" applyBorder="1" applyAlignment="1" applyProtection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5" fillId="0" borderId="0" xfId="0" applyFont="1" applyBorder="1"/>
    <xf numFmtId="164" fontId="3" fillId="0" borderId="0" xfId="0" applyNumberFormat="1" applyFont="1" applyBorder="1"/>
    <xf numFmtId="0" fontId="2" fillId="0" borderId="0" xfId="0" applyFont="1" applyAlignment="1">
      <alignment horizontal="right"/>
    </xf>
    <xf numFmtId="165" fontId="1" fillId="0" borderId="0" xfId="2" applyFont="1" applyBorder="1" applyProtection="1"/>
    <xf numFmtId="165" fontId="14" fillId="0" borderId="1" xfId="2" applyFont="1" applyBorder="1" applyAlignment="1" applyProtection="1"/>
    <xf numFmtId="165" fontId="1" fillId="0" borderId="1" xfId="2" applyFont="1" applyBorder="1" applyAlignment="1" applyProtection="1"/>
    <xf numFmtId="165" fontId="1" fillId="0" borderId="1" xfId="0" applyNumberFormat="1" applyFont="1" applyBorder="1" applyAlignment="1"/>
    <xf numFmtId="165" fontId="2" fillId="0" borderId="1" xfId="0" applyNumberFormat="1" applyFont="1" applyBorder="1"/>
    <xf numFmtId="10" fontId="2" fillId="5" borderId="1" xfId="3" applyNumberFormat="1" applyFont="1" applyFill="1" applyBorder="1" applyAlignment="1" applyProtection="1"/>
    <xf numFmtId="0" fontId="1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5" fontId="12" fillId="0" borderId="1" xfId="2" applyBorder="1" applyProtection="1"/>
    <xf numFmtId="165" fontId="2" fillId="0" borderId="5" xfId="2" applyFont="1" applyBorder="1" applyAlignment="1" applyProtection="1">
      <alignment horizontal="center" wrapText="1"/>
    </xf>
    <xf numFmtId="164" fontId="4" fillId="0" borderId="1" xfId="0" applyNumberFormat="1" applyFont="1" applyBorder="1" applyAlignment="1">
      <alignment horizontal="center" vertical="center" wrapText="1"/>
    </xf>
    <xf numFmtId="165" fontId="2" fillId="0" borderId="1" xfId="2" applyFont="1" applyBorder="1" applyAlignment="1" applyProtection="1">
      <alignment horizontal="center" vertical="center" wrapText="1"/>
    </xf>
    <xf numFmtId="10" fontId="8" fillId="0" borderId="0" xfId="0" applyNumberFormat="1" applyFont="1" applyBorder="1"/>
    <xf numFmtId="175" fontId="2" fillId="5" borderId="6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6" borderId="1" xfId="0" applyNumberFormat="1" applyFont="1" applyFill="1" applyBorder="1" applyAlignment="1">
      <alignment horizontal="center" vertical="center" wrapText="1"/>
    </xf>
    <xf numFmtId="166" fontId="2" fillId="7" borderId="6" xfId="0" applyNumberFormat="1" applyFont="1" applyFill="1" applyBorder="1" applyAlignment="1">
      <alignment horizontal="center" vertical="center" wrapText="1"/>
    </xf>
    <xf numFmtId="164" fontId="2" fillId="8" borderId="1" xfId="0" applyNumberFormat="1" applyFont="1" applyFill="1" applyBorder="1" applyAlignment="1">
      <alignment horizontal="center" vertical="center"/>
    </xf>
    <xf numFmtId="170" fontId="2" fillId="0" borderId="1" xfId="0" applyNumberFormat="1" applyFont="1" applyFill="1" applyBorder="1"/>
    <xf numFmtId="10" fontId="8" fillId="0" borderId="0" xfId="0" applyNumberFormat="1" applyFont="1" applyFill="1" applyBorder="1"/>
    <xf numFmtId="4" fontId="2" fillId="0" borderId="1" xfId="0" applyNumberFormat="1" applyFont="1" applyFill="1" applyBorder="1" applyAlignment="1">
      <alignment horizontal="center" vertical="center" wrapText="1"/>
    </xf>
    <xf numFmtId="164" fontId="2" fillId="8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4" fillId="0" borderId="11" xfId="0" applyFont="1" applyBorder="1" applyAlignment="1">
      <alignment horizontal="center" vertical="center" wrapText="1"/>
    </xf>
    <xf numFmtId="0" fontId="2" fillId="5" borderId="7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0" fontId="2" fillId="5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/>
    </xf>
    <xf numFmtId="0" fontId="2" fillId="0" borderId="7" xfId="0" applyFont="1" applyBorder="1" applyAlignment="1">
      <alignment horizontal="left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171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164" fontId="2" fillId="5" borderId="8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171" fontId="2" fillId="0" borderId="1" xfId="0" applyNumberFormat="1" applyFont="1" applyBorder="1" applyAlignment="1">
      <alignment horizontal="center"/>
    </xf>
    <xf numFmtId="16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FF"/>
      <rgbColor rgb="FF99CC00"/>
      <rgbColor rgb="FFFFCC00"/>
      <rgbColor rgb="FFFF9900"/>
      <rgbColor rgb="FFFF6600"/>
      <rgbColor rgb="FF606060"/>
      <rgbColor rgb="FF969696"/>
      <rgbColor rgb="FF003366"/>
      <rgbColor rgb="FF339966"/>
      <rgbColor rgb="FF003300"/>
      <rgbColor rgb="FF1F1F1F"/>
      <rgbColor rgb="FF993300"/>
      <rgbColor rgb="FF993366"/>
      <rgbColor rgb="FF555555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bcb.gov.br/" TargetMode="External"/><Relationship Id="rId1" Type="http://schemas.openxmlformats.org/officeDocument/2006/relationships/hyperlink" Target="https://publicacoeslegais.detran.rs.gov.br/portaria-detran-rs-n-561-2023-65a585c5d6e37-65ba6b38690c9-65ba6c3ed2aae-65ba70fbde7bd-65ba7149c3662-65ba7553d9819--65bbfd5f5928b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bcb.gov.br/" TargetMode="External"/><Relationship Id="rId1" Type="http://schemas.openxmlformats.org/officeDocument/2006/relationships/hyperlink" Target="https://publicacoeslegais.detran.rs.gov.br/portaria-detran-rs-n-561-2023-65a585c5d6e37-65ba6b38690c9-65ba6c3ed2aae-65ba70fbde7bd-65ba7149c3662-65ba7553d9819--65bbfd5f5928b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033"/>
  <sheetViews>
    <sheetView tabSelected="1" topLeftCell="A127" zoomScale="75" zoomScaleNormal="75" workbookViewId="0">
      <selection activeCell="H144" sqref="H144"/>
    </sheetView>
  </sheetViews>
  <sheetFormatPr defaultColWidth="14.42578125" defaultRowHeight="15"/>
  <cols>
    <col min="1" max="1" width="9.140625" style="1" customWidth="1"/>
    <col min="2" max="2" width="25.140625" style="1" customWidth="1"/>
    <col min="3" max="3" width="21.7109375" style="1" customWidth="1"/>
    <col min="4" max="4" width="19.85546875" style="1" customWidth="1"/>
    <col min="5" max="5" width="17.28515625" style="1" customWidth="1"/>
    <col min="6" max="6" width="19.85546875" style="1" customWidth="1"/>
    <col min="7" max="7" width="20.7109375" style="2" customWidth="1"/>
    <col min="8" max="8" width="17" style="1" customWidth="1"/>
    <col min="9" max="9" width="15.28515625" style="2" customWidth="1"/>
    <col min="10" max="10" width="16.7109375" style="1" customWidth="1"/>
    <col min="11" max="11" width="16.140625" style="1" customWidth="1"/>
    <col min="12" max="12" width="17.85546875" style="1" hidden="1" customWidth="1"/>
    <col min="13" max="13" width="16.7109375" style="1" hidden="1" customWidth="1"/>
    <col min="14" max="14" width="15.42578125" style="1" hidden="1" customWidth="1"/>
    <col min="15" max="15" width="10.140625" style="1" hidden="1" customWidth="1"/>
    <col min="16" max="16" width="10" style="1" hidden="1" customWidth="1"/>
    <col min="17" max="17" width="12.140625" style="1" hidden="1" customWidth="1"/>
    <col min="18" max="18" width="9.140625" style="1" hidden="1" customWidth="1"/>
    <col min="19" max="27" width="9.140625" style="1" customWidth="1"/>
    <col min="28" max="1024" width="14.42578125" style="1"/>
  </cols>
  <sheetData>
    <row r="1" spans="1:27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>
      <c r="A2" s="3"/>
      <c r="B2" s="134" t="s">
        <v>0</v>
      </c>
      <c r="C2" s="134"/>
      <c r="D2" s="134"/>
      <c r="E2" s="134"/>
      <c r="F2" s="134"/>
      <c r="G2" s="134"/>
      <c r="H2" s="134"/>
      <c r="I2" s="134"/>
      <c r="J2" s="134"/>
      <c r="K2" s="134"/>
      <c r="L2" s="4" t="s">
        <v>1</v>
      </c>
      <c r="M2" s="4" t="s">
        <v>2</v>
      </c>
      <c r="N2" s="3" t="s">
        <v>3</v>
      </c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>
      <c r="A3" s="3"/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5">
        <v>63.2</v>
      </c>
      <c r="M3" s="3" t="s">
        <v>4</v>
      </c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ht="11.25" customHeight="1">
      <c r="A4" s="3"/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3" t="s">
        <v>5</v>
      </c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ht="17.25" customHeight="1">
      <c r="A5" s="3"/>
      <c r="B5" s="134" t="s">
        <v>6</v>
      </c>
      <c r="C5" s="134"/>
      <c r="D5" s="134"/>
      <c r="E5" s="134"/>
      <c r="F5" s="134"/>
      <c r="G5" s="134"/>
      <c r="H5" s="134"/>
      <c r="I5" s="134"/>
      <c r="J5" s="134"/>
      <c r="K5" s="134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spans="1:27">
      <c r="A6" s="3"/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>
      <c r="A7" s="3"/>
      <c r="B7" s="172" t="s">
        <v>7</v>
      </c>
      <c r="C7" s="172"/>
      <c r="D7" s="172"/>
      <c r="E7" s="172"/>
      <c r="F7" s="172"/>
      <c r="G7" s="172"/>
      <c r="H7" s="172"/>
      <c r="I7" s="172"/>
      <c r="J7" s="172"/>
      <c r="K7" s="172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ht="12.75" customHeight="1">
      <c r="A8" s="3"/>
      <c r="B8" s="153" t="s">
        <v>8</v>
      </c>
      <c r="C8" s="153"/>
      <c r="D8" s="153"/>
      <c r="E8" s="6" t="s">
        <v>9</v>
      </c>
      <c r="F8" s="6" t="s">
        <v>10</v>
      </c>
      <c r="G8" s="6"/>
      <c r="H8" s="7" t="s">
        <v>11</v>
      </c>
      <c r="I8" s="8"/>
      <c r="J8" s="8" t="s">
        <v>12</v>
      </c>
      <c r="K8" s="6" t="s">
        <v>12</v>
      </c>
      <c r="L8" s="4" t="s">
        <v>13</v>
      </c>
      <c r="M8" s="4" t="s">
        <v>14</v>
      </c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ht="12.75" customHeight="1">
      <c r="A9" s="3"/>
      <c r="B9" s="174" t="s">
        <v>15</v>
      </c>
      <c r="C9" s="174"/>
      <c r="D9" s="174"/>
      <c r="E9" s="9" t="s">
        <v>16</v>
      </c>
      <c r="F9" s="10" t="s">
        <v>17</v>
      </c>
      <c r="G9" s="10"/>
      <c r="H9" s="11" t="s">
        <v>18</v>
      </c>
      <c r="I9" s="11"/>
      <c r="J9" s="12"/>
      <c r="K9" s="13">
        <f>((J9/220)*220)*L9</f>
        <v>0</v>
      </c>
      <c r="L9" s="14">
        <v>1</v>
      </c>
      <c r="M9" s="3" t="s">
        <v>19</v>
      </c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ht="12.75" customHeight="1">
      <c r="A10" s="3"/>
      <c r="B10" s="174" t="s">
        <v>20</v>
      </c>
      <c r="C10" s="174"/>
      <c r="D10" s="174"/>
      <c r="E10" s="9" t="s">
        <v>16</v>
      </c>
      <c r="F10" s="10" t="str">
        <f>F9</f>
        <v>RS002118/2024</v>
      </c>
      <c r="G10" s="10"/>
      <c r="H10" s="11" t="s">
        <v>18</v>
      </c>
      <c r="I10" s="11"/>
      <c r="J10" s="12"/>
      <c r="K10" s="13">
        <f>((J10/220)*220)*L9</f>
        <v>0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7" ht="12.75" customHeight="1">
      <c r="A11" s="3"/>
      <c r="B11" s="174"/>
      <c r="C11" s="174"/>
      <c r="D11" s="174"/>
      <c r="E11" s="15"/>
      <c r="F11" s="16"/>
      <c r="G11" s="16"/>
      <c r="H11" s="11"/>
      <c r="I11" s="11"/>
      <c r="J11" s="122"/>
      <c r="K11" s="1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7" ht="12.75" customHeight="1">
      <c r="A12" s="17"/>
      <c r="B12" s="146"/>
      <c r="C12" s="146"/>
      <c r="D12" s="146"/>
      <c r="E12" s="146"/>
      <c r="F12" s="146"/>
      <c r="G12" s="146"/>
      <c r="H12" s="146"/>
      <c r="I12" s="146"/>
      <c r="J12" s="146"/>
      <c r="K12" s="146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</row>
    <row r="13" spans="1:27" ht="12.75" customHeight="1">
      <c r="A13" s="3"/>
      <c r="B13" s="172" t="s">
        <v>21</v>
      </c>
      <c r="C13" s="172"/>
      <c r="D13" s="172"/>
      <c r="E13" s="172"/>
      <c r="F13" s="172"/>
      <c r="G13" s="172"/>
      <c r="H13" s="172"/>
      <c r="I13" s="172"/>
      <c r="J13" s="172"/>
      <c r="K13" s="172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ht="12.75" customHeight="1">
      <c r="A14" s="3"/>
      <c r="B14" s="6">
        <v>1</v>
      </c>
      <c r="C14" s="153" t="s">
        <v>22</v>
      </c>
      <c r="D14" s="153"/>
      <c r="E14" s="153"/>
      <c r="F14" s="153"/>
      <c r="G14" s="153"/>
      <c r="H14" s="153"/>
      <c r="I14" s="153"/>
      <c r="J14" s="153"/>
      <c r="K14" s="19" t="s">
        <v>23</v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ht="12.75" customHeight="1">
      <c r="A15" s="3"/>
      <c r="B15" s="18" t="s">
        <v>24</v>
      </c>
      <c r="C15" s="138" t="s">
        <v>25</v>
      </c>
      <c r="D15" s="138"/>
      <c r="E15" s="138"/>
      <c r="F15" s="138"/>
      <c r="G15" s="20"/>
      <c r="H15" s="146" t="s">
        <v>26</v>
      </c>
      <c r="I15" s="146"/>
      <c r="J15" s="11" t="s">
        <v>27</v>
      </c>
      <c r="K15" s="11" t="s">
        <v>27</v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ht="12.75" customHeight="1">
      <c r="A16" s="3"/>
      <c r="B16" s="21" t="s">
        <v>28</v>
      </c>
      <c r="C16" s="138" t="str">
        <f>B9</f>
        <v>Motorista(CBO xxx)</v>
      </c>
      <c r="D16" s="138"/>
      <c r="E16" s="138"/>
      <c r="F16" s="138"/>
      <c r="G16" s="20"/>
      <c r="H16" s="146">
        <v>1</v>
      </c>
      <c r="I16" s="146"/>
      <c r="J16" s="22">
        <f>K9</f>
        <v>0</v>
      </c>
      <c r="K16" s="23">
        <f>H16*J16</f>
        <v>0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ht="12.75" customHeight="1">
      <c r="A17" s="3"/>
      <c r="B17" s="21" t="s">
        <v>29</v>
      </c>
      <c r="C17" s="138" t="str">
        <f>B10</f>
        <v>Monitor (CBO XXX)</v>
      </c>
      <c r="D17" s="138"/>
      <c r="E17" s="138"/>
      <c r="F17" s="138"/>
      <c r="G17" s="20"/>
      <c r="H17" s="146">
        <v>1</v>
      </c>
      <c r="I17" s="146"/>
      <c r="J17" s="22">
        <f>K10</f>
        <v>0</v>
      </c>
      <c r="K17" s="23">
        <f>H17*J17</f>
        <v>0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27" ht="12.75" customHeight="1">
      <c r="A18" s="3"/>
      <c r="B18" s="146"/>
      <c r="C18" s="146"/>
      <c r="D18" s="146"/>
      <c r="E18" s="146"/>
      <c r="F18" s="146"/>
      <c r="G18" s="146"/>
      <c r="H18" s="146"/>
      <c r="I18" s="146"/>
      <c r="J18" s="22"/>
      <c r="K18" s="2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12.75" customHeight="1">
      <c r="A19" s="3"/>
      <c r="B19" s="142" t="s">
        <v>30</v>
      </c>
      <c r="C19" s="142"/>
      <c r="D19" s="142"/>
      <c r="E19" s="142"/>
      <c r="F19" s="142"/>
      <c r="G19" s="142"/>
      <c r="H19" s="142"/>
      <c r="I19" s="142"/>
      <c r="J19" s="142"/>
      <c r="K19" s="25">
        <f>SUM(K16:K18)</f>
        <v>0</v>
      </c>
      <c r="L19" s="3"/>
      <c r="M19" s="26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ht="12.75" customHeight="1">
      <c r="A20" s="3"/>
      <c r="B20" s="171"/>
      <c r="C20" s="171"/>
      <c r="D20" s="171"/>
      <c r="E20" s="171"/>
      <c r="F20" s="171"/>
      <c r="G20" s="171"/>
      <c r="H20" s="171"/>
      <c r="I20" s="171"/>
      <c r="J20" s="171"/>
      <c r="K20" s="171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12.75" customHeight="1">
      <c r="A21" s="3"/>
      <c r="B21" s="172" t="s">
        <v>31</v>
      </c>
      <c r="C21" s="172"/>
      <c r="D21" s="172"/>
      <c r="E21" s="172"/>
      <c r="F21" s="172"/>
      <c r="G21" s="172"/>
      <c r="H21" s="172"/>
      <c r="I21" s="172"/>
      <c r="J21" s="172"/>
      <c r="K21" s="172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12.75" customHeight="1">
      <c r="A22" s="3"/>
      <c r="B22" s="173"/>
      <c r="C22" s="173"/>
      <c r="D22" s="173"/>
      <c r="E22" s="173"/>
      <c r="F22" s="173"/>
      <c r="G22" s="173"/>
      <c r="H22" s="173"/>
      <c r="I22" s="173"/>
      <c r="J22" s="173"/>
      <c r="K22" s="17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ht="12.75" customHeight="1">
      <c r="A23" s="3"/>
      <c r="B23" s="161" t="s">
        <v>32</v>
      </c>
      <c r="C23" s="161"/>
      <c r="D23" s="161"/>
      <c r="E23" s="161"/>
      <c r="F23" s="161"/>
      <c r="G23" s="161"/>
      <c r="H23" s="161"/>
      <c r="I23" s="161"/>
      <c r="J23" s="161"/>
      <c r="K23" s="161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ht="12.75" customHeight="1">
      <c r="A24" s="3"/>
      <c r="B24" s="24" t="s">
        <v>33</v>
      </c>
      <c r="C24" s="143" t="s">
        <v>34</v>
      </c>
      <c r="D24" s="143"/>
      <c r="E24" s="143"/>
      <c r="F24" s="143"/>
      <c r="G24" s="143"/>
      <c r="H24" s="143"/>
      <c r="I24" s="143"/>
      <c r="J24" s="24" t="s">
        <v>35</v>
      </c>
      <c r="K24" s="27" t="s">
        <v>23</v>
      </c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ht="12.75" customHeight="1">
      <c r="A25" s="3"/>
      <c r="B25" s="18" t="s">
        <v>24</v>
      </c>
      <c r="C25" s="138" t="s">
        <v>36</v>
      </c>
      <c r="D25" s="138"/>
      <c r="E25" s="138"/>
      <c r="F25" s="138"/>
      <c r="G25" s="138"/>
      <c r="H25" s="138"/>
      <c r="I25" s="138"/>
      <c r="J25" s="28">
        <f>1/12%</f>
        <v>8.3333333333333339</v>
      </c>
      <c r="K25" s="23">
        <f>J25*K19%</f>
        <v>0</v>
      </c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 ht="12.75" customHeight="1">
      <c r="A26" s="3"/>
      <c r="B26" s="18" t="s">
        <v>37</v>
      </c>
      <c r="C26" s="138" t="s">
        <v>38</v>
      </c>
      <c r="D26" s="138"/>
      <c r="E26" s="138"/>
      <c r="F26" s="138"/>
      <c r="G26" s="138"/>
      <c r="H26" s="138"/>
      <c r="I26" s="138"/>
      <c r="J26" s="28">
        <v>2.78</v>
      </c>
      <c r="K26" s="23">
        <f>J26*K19%</f>
        <v>0</v>
      </c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ht="12.75" customHeight="1">
      <c r="A27" s="3"/>
      <c r="B27" s="142" t="s">
        <v>39</v>
      </c>
      <c r="C27" s="142"/>
      <c r="D27" s="142"/>
      <c r="E27" s="142"/>
      <c r="F27" s="142"/>
      <c r="G27" s="142"/>
      <c r="H27" s="142"/>
      <c r="I27" s="142"/>
      <c r="J27" s="142"/>
      <c r="K27" s="25">
        <f>SUM(K25:K26)</f>
        <v>0</v>
      </c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12.75" customHeight="1">
      <c r="A28" s="3"/>
      <c r="B28" s="157" t="s">
        <v>40</v>
      </c>
      <c r="C28" s="157"/>
      <c r="D28" s="157"/>
      <c r="E28" s="157"/>
      <c r="F28" s="157"/>
      <c r="G28" s="157"/>
      <c r="H28" s="157"/>
      <c r="I28" s="157"/>
      <c r="J28" s="157"/>
      <c r="K28" s="157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2.75" customHeight="1">
      <c r="A29" s="3"/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ht="12.75" customHeight="1">
      <c r="A30" s="3"/>
      <c r="B30" s="161" t="s">
        <v>41</v>
      </c>
      <c r="C30" s="161"/>
      <c r="D30" s="161"/>
      <c r="E30" s="161"/>
      <c r="F30" s="161"/>
      <c r="G30" s="161"/>
      <c r="H30" s="161"/>
      <c r="I30" s="161"/>
      <c r="J30" s="161"/>
      <c r="K30" s="161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ht="12.75" customHeight="1">
      <c r="A31" s="3"/>
      <c r="B31" s="24" t="s">
        <v>42</v>
      </c>
      <c r="C31" s="143" t="s">
        <v>43</v>
      </c>
      <c r="D31" s="143"/>
      <c r="E31" s="143"/>
      <c r="F31" s="143"/>
      <c r="G31" s="143"/>
      <c r="H31" s="143"/>
      <c r="I31" s="143"/>
      <c r="J31" s="24" t="s">
        <v>35</v>
      </c>
      <c r="K31" s="27" t="s">
        <v>23</v>
      </c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2.75" customHeight="1">
      <c r="A32" s="3"/>
      <c r="B32" s="18" t="s">
        <v>24</v>
      </c>
      <c r="C32" s="138" t="s">
        <v>44</v>
      </c>
      <c r="D32" s="138"/>
      <c r="E32" s="138"/>
      <c r="F32" s="138"/>
      <c r="G32" s="138"/>
      <c r="H32" s="138"/>
      <c r="I32" s="138"/>
      <c r="J32" s="28">
        <v>0</v>
      </c>
      <c r="K32" s="23">
        <f t="shared" ref="K32:K39" si="0">J32*($K$19%+$K$27%)</f>
        <v>0</v>
      </c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2.75" customHeight="1">
      <c r="A33" s="3"/>
      <c r="B33" s="18" t="s">
        <v>37</v>
      </c>
      <c r="C33" s="138" t="s">
        <v>45</v>
      </c>
      <c r="D33" s="138"/>
      <c r="E33" s="138"/>
      <c r="F33" s="138"/>
      <c r="G33" s="138"/>
      <c r="H33" s="138"/>
      <c r="I33" s="138"/>
      <c r="J33" s="28">
        <v>0</v>
      </c>
      <c r="K33" s="23">
        <f t="shared" si="0"/>
        <v>0</v>
      </c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 ht="12.75" customHeight="1">
      <c r="A34" s="3"/>
      <c r="B34" s="18" t="s">
        <v>46</v>
      </c>
      <c r="C34" s="138" t="s">
        <v>47</v>
      </c>
      <c r="D34" s="138"/>
      <c r="E34" s="138"/>
      <c r="F34" s="138"/>
      <c r="G34" s="138"/>
      <c r="H34" s="138"/>
      <c r="I34" s="138"/>
      <c r="J34" s="28">
        <v>0</v>
      </c>
      <c r="K34" s="23">
        <f t="shared" si="0"/>
        <v>0</v>
      </c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2.75" customHeight="1">
      <c r="A35" s="3"/>
      <c r="B35" s="18" t="s">
        <v>48</v>
      </c>
      <c r="C35" s="138" t="s">
        <v>49</v>
      </c>
      <c r="D35" s="138"/>
      <c r="E35" s="138"/>
      <c r="F35" s="138"/>
      <c r="G35" s="138"/>
      <c r="H35" s="138"/>
      <c r="I35" s="138"/>
      <c r="J35" s="28">
        <v>0</v>
      </c>
      <c r="K35" s="23">
        <f t="shared" si="0"/>
        <v>0</v>
      </c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"/>
      <c r="B36" s="18" t="s">
        <v>50</v>
      </c>
      <c r="C36" s="138" t="s">
        <v>51</v>
      </c>
      <c r="D36" s="138"/>
      <c r="E36" s="138"/>
      <c r="F36" s="138"/>
      <c r="G36" s="138"/>
      <c r="H36" s="138"/>
      <c r="I36" s="138"/>
      <c r="J36" s="28">
        <v>0</v>
      </c>
      <c r="K36" s="23">
        <f t="shared" si="0"/>
        <v>0</v>
      </c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2.75" customHeight="1">
      <c r="A37" s="3"/>
      <c r="B37" s="18" t="s">
        <v>52</v>
      </c>
      <c r="C37" s="138" t="s">
        <v>53</v>
      </c>
      <c r="D37" s="138"/>
      <c r="E37" s="138"/>
      <c r="F37" s="138"/>
      <c r="G37" s="138"/>
      <c r="H37" s="138"/>
      <c r="I37" s="138"/>
      <c r="J37" s="28">
        <v>8</v>
      </c>
      <c r="K37" s="23">
        <f t="shared" si="0"/>
        <v>0</v>
      </c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 ht="12.75" customHeight="1">
      <c r="A38" s="3"/>
      <c r="B38" s="18" t="s">
        <v>54</v>
      </c>
      <c r="C38" s="138" t="s">
        <v>55</v>
      </c>
      <c r="D38" s="138"/>
      <c r="E38" s="138"/>
      <c r="F38" s="138"/>
      <c r="G38" s="138"/>
      <c r="H38" s="138"/>
      <c r="I38" s="138"/>
      <c r="J38" s="28">
        <v>0</v>
      </c>
      <c r="K38" s="23">
        <f t="shared" si="0"/>
        <v>0</v>
      </c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2.75" customHeight="1">
      <c r="A39" s="3"/>
      <c r="B39" s="18" t="s">
        <v>56</v>
      </c>
      <c r="C39" s="138" t="s">
        <v>57</v>
      </c>
      <c r="D39" s="138"/>
      <c r="E39" s="138"/>
      <c r="F39" s="138"/>
      <c r="G39" s="138"/>
      <c r="H39" s="138"/>
      <c r="I39" s="138"/>
      <c r="J39" s="28">
        <v>0</v>
      </c>
      <c r="K39" s="23">
        <f t="shared" si="0"/>
        <v>0</v>
      </c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2.75" customHeight="1">
      <c r="A40" s="3"/>
      <c r="B40" s="142" t="s">
        <v>39</v>
      </c>
      <c r="C40" s="142"/>
      <c r="D40" s="142"/>
      <c r="E40" s="142"/>
      <c r="F40" s="142"/>
      <c r="G40" s="142"/>
      <c r="H40" s="142"/>
      <c r="I40" s="142"/>
      <c r="J40" s="29">
        <f>SUM(J32:J39)</f>
        <v>8</v>
      </c>
      <c r="K40" s="25">
        <f>SUM(K32:K39)</f>
        <v>0</v>
      </c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"/>
      <c r="B41" s="164"/>
      <c r="C41" s="164"/>
      <c r="D41" s="164"/>
      <c r="E41" s="164"/>
      <c r="F41" s="164"/>
      <c r="G41" s="164"/>
      <c r="H41" s="164"/>
      <c r="I41" s="164"/>
      <c r="J41" s="164"/>
      <c r="K41" s="164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"/>
      <c r="B42" s="161" t="s">
        <v>58</v>
      </c>
      <c r="C42" s="161"/>
      <c r="D42" s="161"/>
      <c r="E42" s="161"/>
      <c r="F42" s="161"/>
      <c r="G42" s="161"/>
      <c r="H42" s="161"/>
      <c r="I42" s="161"/>
      <c r="J42" s="161"/>
      <c r="K42" s="161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ht="12.75" customHeight="1">
      <c r="A43" s="3"/>
      <c r="B43" s="24" t="s">
        <v>59</v>
      </c>
      <c r="C43" s="143" t="s">
        <v>60</v>
      </c>
      <c r="D43" s="143"/>
      <c r="E43" s="143"/>
      <c r="F43" s="143"/>
      <c r="G43" s="143"/>
      <c r="H43" s="143"/>
      <c r="I43" s="143"/>
      <c r="J43" s="18"/>
      <c r="K43" s="30" t="s">
        <v>23</v>
      </c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2.75" customHeight="1">
      <c r="A44" s="3"/>
      <c r="B44" s="18" t="s">
        <v>24</v>
      </c>
      <c r="C44" s="138" t="s">
        <v>61</v>
      </c>
      <c r="D44" s="138"/>
      <c r="E44" s="138"/>
      <c r="F44" s="138"/>
      <c r="G44" s="138"/>
      <c r="H44" s="144" t="s">
        <v>62</v>
      </c>
      <c r="I44" s="144"/>
      <c r="J44" s="18" t="s">
        <v>63</v>
      </c>
      <c r="K44" s="32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 ht="12.75" customHeight="1">
      <c r="A45" s="3"/>
      <c r="B45" s="21" t="s">
        <v>28</v>
      </c>
      <c r="C45" s="138" t="str">
        <f>C16</f>
        <v>Motorista(CBO xxx)</v>
      </c>
      <c r="D45" s="138"/>
      <c r="E45" s="138"/>
      <c r="F45" s="138"/>
      <c r="G45" s="138"/>
      <c r="H45" s="146">
        <f>H16</f>
        <v>1</v>
      </c>
      <c r="I45" s="146"/>
      <c r="J45" s="170"/>
      <c r="K45" s="32">
        <f>(((J45*22*2)-(J16*6%))*H45)*L9</f>
        <v>0</v>
      </c>
      <c r="L45" s="3"/>
      <c r="M45" s="33"/>
      <c r="N45" s="34"/>
      <c r="O45" s="35"/>
      <c r="P45" s="34"/>
      <c r="Q45" s="34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12.75" customHeight="1">
      <c r="A46" s="3"/>
      <c r="B46" s="21" t="s">
        <v>29</v>
      </c>
      <c r="C46" s="138" t="str">
        <f>C17</f>
        <v>Monitor (CBO XXX)</v>
      </c>
      <c r="D46" s="138"/>
      <c r="E46" s="138"/>
      <c r="F46" s="138"/>
      <c r="G46" s="138"/>
      <c r="H46" s="146">
        <f>H17</f>
        <v>1</v>
      </c>
      <c r="I46" s="146"/>
      <c r="J46" s="170"/>
      <c r="K46" s="32">
        <f>(((J45*22*2)-(J17*6%))*H46)*L9</f>
        <v>0</v>
      </c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2.75" customHeight="1">
      <c r="A47" s="3"/>
      <c r="B47" s="21"/>
      <c r="C47" s="138" t="s">
        <v>64</v>
      </c>
      <c r="D47" s="138"/>
      <c r="E47" s="138"/>
      <c r="F47" s="138"/>
      <c r="G47" s="138"/>
      <c r="H47" s="146"/>
      <c r="I47" s="146"/>
      <c r="J47" s="170"/>
      <c r="K47" s="32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2.75" customHeight="1">
      <c r="A48" s="3"/>
      <c r="B48" s="18" t="s">
        <v>37</v>
      </c>
      <c r="C48" s="137" t="s">
        <v>65</v>
      </c>
      <c r="D48" s="137"/>
      <c r="E48" s="137"/>
      <c r="F48" s="137"/>
      <c r="G48" s="137"/>
      <c r="H48" s="146"/>
      <c r="I48" s="146"/>
      <c r="J48" s="11" t="s">
        <v>66</v>
      </c>
      <c r="K48" s="36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2.75" customHeight="1">
      <c r="A49" s="3"/>
      <c r="B49" s="21" t="s">
        <v>67</v>
      </c>
      <c r="C49" s="167" t="str">
        <f>C45</f>
        <v>Motorista(CBO xxx)</v>
      </c>
      <c r="D49" s="167"/>
      <c r="E49" s="167"/>
      <c r="F49" s="167"/>
      <c r="G49" s="167"/>
      <c r="H49" s="167"/>
      <c r="I49" s="167"/>
      <c r="J49" s="168" t="str">
        <f>F9</f>
        <v>RS002118/2024</v>
      </c>
      <c r="K49" s="123"/>
      <c r="L49" s="3" t="s">
        <v>68</v>
      </c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2.75" customHeight="1">
      <c r="A50" s="3"/>
      <c r="B50" s="21" t="s">
        <v>69</v>
      </c>
      <c r="C50" s="169" t="str">
        <f>C46</f>
        <v>Monitor (CBO XXX)</v>
      </c>
      <c r="D50" s="169"/>
      <c r="E50" s="169"/>
      <c r="F50" s="169"/>
      <c r="G50" s="169"/>
      <c r="H50" s="169"/>
      <c r="I50" s="169"/>
      <c r="J50" s="168"/>
      <c r="K50" s="123"/>
      <c r="L50" s="3" t="s">
        <v>68</v>
      </c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2.75" customHeight="1">
      <c r="A51" s="3"/>
      <c r="B51" s="142" t="s">
        <v>39</v>
      </c>
      <c r="C51" s="142"/>
      <c r="D51" s="142"/>
      <c r="E51" s="142"/>
      <c r="F51" s="142"/>
      <c r="G51" s="142"/>
      <c r="H51" s="142"/>
      <c r="I51" s="142"/>
      <c r="J51" s="142"/>
      <c r="K51" s="37">
        <f>SUM(K44:K50)</f>
        <v>0</v>
      </c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2.75" customHeight="1">
      <c r="A52" s="3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12.75" customHeight="1">
      <c r="A53" s="3"/>
      <c r="B53" s="161" t="s">
        <v>70</v>
      </c>
      <c r="C53" s="161"/>
      <c r="D53" s="161"/>
      <c r="E53" s="161"/>
      <c r="F53" s="161"/>
      <c r="G53" s="161"/>
      <c r="H53" s="161"/>
      <c r="I53" s="161"/>
      <c r="J53" s="161"/>
      <c r="K53" s="161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2.75" customHeight="1">
      <c r="A54" s="3"/>
      <c r="B54" s="24">
        <v>2</v>
      </c>
      <c r="C54" s="142" t="s">
        <v>71</v>
      </c>
      <c r="D54" s="142"/>
      <c r="E54" s="142"/>
      <c r="F54" s="142"/>
      <c r="G54" s="142"/>
      <c r="H54" s="142"/>
      <c r="I54" s="142"/>
      <c r="J54" s="142"/>
      <c r="K54" s="27" t="s">
        <v>23</v>
      </c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2.75" customHeight="1">
      <c r="A55" s="3"/>
      <c r="B55" s="18" t="s">
        <v>33</v>
      </c>
      <c r="C55" s="138" t="s">
        <v>72</v>
      </c>
      <c r="D55" s="138"/>
      <c r="E55" s="138"/>
      <c r="F55" s="138"/>
      <c r="G55" s="138"/>
      <c r="H55" s="138"/>
      <c r="I55" s="138"/>
      <c r="J55" s="138"/>
      <c r="K55" s="23">
        <f>K27</f>
        <v>0</v>
      </c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12.75" customHeight="1">
      <c r="A56" s="3"/>
      <c r="B56" s="18" t="s">
        <v>42</v>
      </c>
      <c r="C56" s="138" t="s">
        <v>43</v>
      </c>
      <c r="D56" s="138"/>
      <c r="E56" s="138"/>
      <c r="F56" s="138"/>
      <c r="G56" s="138"/>
      <c r="H56" s="138"/>
      <c r="I56" s="138"/>
      <c r="J56" s="138"/>
      <c r="K56" s="23">
        <f>K40</f>
        <v>0</v>
      </c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12.75" customHeight="1">
      <c r="A57" s="3"/>
      <c r="B57" s="18" t="s">
        <v>59</v>
      </c>
      <c r="C57" s="138" t="s">
        <v>60</v>
      </c>
      <c r="D57" s="138"/>
      <c r="E57" s="138"/>
      <c r="F57" s="138"/>
      <c r="G57" s="138"/>
      <c r="H57" s="138"/>
      <c r="I57" s="138"/>
      <c r="J57" s="138"/>
      <c r="K57" s="23">
        <f>K51</f>
        <v>0</v>
      </c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 ht="12.75" customHeight="1">
      <c r="A58" s="3"/>
      <c r="B58" s="142" t="s">
        <v>39</v>
      </c>
      <c r="C58" s="142"/>
      <c r="D58" s="142"/>
      <c r="E58" s="142"/>
      <c r="F58" s="142"/>
      <c r="G58" s="142"/>
      <c r="H58" s="142"/>
      <c r="I58" s="142"/>
      <c r="J58" s="142"/>
      <c r="K58" s="25">
        <f>SUM(K55:K57)</f>
        <v>0</v>
      </c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12.75" customHeight="1">
      <c r="A59" s="3"/>
      <c r="B59" s="165"/>
      <c r="C59" s="165"/>
      <c r="D59" s="165"/>
      <c r="E59" s="165"/>
      <c r="F59" s="165"/>
      <c r="G59" s="165"/>
      <c r="H59" s="165"/>
      <c r="I59" s="165"/>
      <c r="J59" s="165"/>
      <c r="K59" s="165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12.75" customHeight="1">
      <c r="A60" s="3"/>
      <c r="B60" s="161" t="s">
        <v>73</v>
      </c>
      <c r="C60" s="161"/>
      <c r="D60" s="161"/>
      <c r="E60" s="161"/>
      <c r="F60" s="161"/>
      <c r="G60" s="161"/>
      <c r="H60" s="161"/>
      <c r="I60" s="161"/>
      <c r="J60" s="161"/>
      <c r="K60" s="161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 ht="12.75" customHeight="1">
      <c r="A61" s="3"/>
      <c r="B61" s="24">
        <v>3</v>
      </c>
      <c r="C61" s="142" t="s">
        <v>74</v>
      </c>
      <c r="D61" s="142"/>
      <c r="E61" s="142"/>
      <c r="F61" s="142"/>
      <c r="G61" s="142"/>
      <c r="H61" s="142"/>
      <c r="I61" s="142"/>
      <c r="J61" s="24" t="s">
        <v>35</v>
      </c>
      <c r="K61" s="27" t="s">
        <v>23</v>
      </c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2.75" customHeight="1">
      <c r="A62" s="3"/>
      <c r="B62" s="18" t="s">
        <v>24</v>
      </c>
      <c r="C62" s="138" t="s">
        <v>75</v>
      </c>
      <c r="D62" s="138"/>
      <c r="E62" s="138"/>
      <c r="F62" s="138"/>
      <c r="G62" s="138"/>
      <c r="H62" s="138"/>
      <c r="I62" s="138"/>
      <c r="J62" s="28">
        <v>0.42</v>
      </c>
      <c r="K62" s="23">
        <f>J62*($K$19%)</f>
        <v>0</v>
      </c>
      <c r="L62" s="39"/>
      <c r="M62" s="40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2.75" customHeight="1">
      <c r="A63" s="3"/>
      <c r="B63" s="18" t="s">
        <v>37</v>
      </c>
      <c r="C63" s="138" t="s">
        <v>76</v>
      </c>
      <c r="D63" s="138"/>
      <c r="E63" s="138"/>
      <c r="F63" s="138"/>
      <c r="G63" s="138"/>
      <c r="H63" s="138"/>
      <c r="I63" s="138"/>
      <c r="J63" s="41">
        <v>3.3599999999999998E-2</v>
      </c>
      <c r="K63" s="23">
        <f>J63*$K$19%</f>
        <v>0</v>
      </c>
      <c r="L63" s="34"/>
      <c r="M63" s="40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2.75" customHeight="1">
      <c r="A64" s="3"/>
      <c r="B64" s="31" t="s">
        <v>46</v>
      </c>
      <c r="C64" s="138" t="s">
        <v>77</v>
      </c>
      <c r="D64" s="138"/>
      <c r="E64" s="138"/>
      <c r="F64" s="138"/>
      <c r="G64" s="138"/>
      <c r="H64" s="138"/>
      <c r="I64" s="138"/>
      <c r="J64" s="42">
        <v>3.44</v>
      </c>
      <c r="K64" s="43">
        <f>J64*K62%</f>
        <v>0</v>
      </c>
      <c r="L64" s="3"/>
      <c r="M64" s="40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2.75" customHeight="1">
      <c r="A65" s="3"/>
      <c r="B65" s="18" t="s">
        <v>48</v>
      </c>
      <c r="C65" s="166" t="s">
        <v>78</v>
      </c>
      <c r="D65" s="166"/>
      <c r="E65" s="166"/>
      <c r="F65" s="166"/>
      <c r="G65" s="166"/>
      <c r="H65" s="166"/>
      <c r="I65" s="166"/>
      <c r="J65" s="28">
        <v>1.94</v>
      </c>
      <c r="K65" s="23">
        <f>J65*$K$19%</f>
        <v>0</v>
      </c>
      <c r="L65" s="3"/>
      <c r="M65" s="40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2.75" customHeight="1">
      <c r="A66" s="3"/>
      <c r="B66" s="18" t="s">
        <v>50</v>
      </c>
      <c r="C66" s="138" t="s">
        <v>79</v>
      </c>
      <c r="D66" s="138"/>
      <c r="E66" s="138"/>
      <c r="F66" s="138"/>
      <c r="G66" s="138"/>
      <c r="H66" s="138"/>
      <c r="I66" s="138"/>
      <c r="J66" s="28">
        <v>0.72</v>
      </c>
      <c r="K66" s="23">
        <f>J66*$K$19%</f>
        <v>0</v>
      </c>
      <c r="L66" s="3"/>
      <c r="M66" s="40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2.75" customHeight="1">
      <c r="A67" s="3"/>
      <c r="B67" s="18" t="s">
        <v>52</v>
      </c>
      <c r="C67" s="138" t="s">
        <v>80</v>
      </c>
      <c r="D67" s="138"/>
      <c r="E67" s="138"/>
      <c r="F67" s="138"/>
      <c r="G67" s="138"/>
      <c r="H67" s="138"/>
      <c r="I67" s="138"/>
      <c r="J67" s="44">
        <v>6.2E-2</v>
      </c>
      <c r="K67" s="23">
        <f>J67*K65%</f>
        <v>0</v>
      </c>
      <c r="L67" s="3"/>
      <c r="M67" s="40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ht="12.75" customHeight="1">
      <c r="A68" s="3"/>
      <c r="B68" s="142" t="s">
        <v>39</v>
      </c>
      <c r="C68" s="142"/>
      <c r="D68" s="142"/>
      <c r="E68" s="142"/>
      <c r="F68" s="142"/>
      <c r="G68" s="142"/>
      <c r="H68" s="142"/>
      <c r="I68" s="142"/>
      <c r="J68" s="142"/>
      <c r="K68" s="25">
        <f>SUM(K62:K67)</f>
        <v>0</v>
      </c>
      <c r="L68" s="3"/>
      <c r="M68" s="26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1:27" ht="29.25" customHeight="1">
      <c r="A69" s="3"/>
      <c r="B69" s="157" t="s">
        <v>81</v>
      </c>
      <c r="C69" s="157"/>
      <c r="D69" s="157"/>
      <c r="E69" s="157"/>
      <c r="F69" s="157"/>
      <c r="G69" s="157"/>
      <c r="H69" s="157"/>
      <c r="I69" s="157"/>
      <c r="J69" s="157"/>
      <c r="K69" s="157"/>
      <c r="L69" s="3"/>
      <c r="M69" s="26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5.75" customHeight="1">
      <c r="A70" s="3"/>
      <c r="B70" s="164"/>
      <c r="C70" s="164"/>
      <c r="D70" s="164"/>
      <c r="E70" s="164"/>
      <c r="F70" s="164"/>
      <c r="G70" s="164"/>
      <c r="H70" s="164"/>
      <c r="I70" s="164"/>
      <c r="J70" s="164"/>
      <c r="K70" s="164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12.75" customHeight="1">
      <c r="A71" s="3"/>
      <c r="B71" s="161" t="s">
        <v>82</v>
      </c>
      <c r="C71" s="161"/>
      <c r="D71" s="161"/>
      <c r="E71" s="161"/>
      <c r="F71" s="161"/>
      <c r="G71" s="161"/>
      <c r="H71" s="161"/>
      <c r="I71" s="161"/>
      <c r="J71" s="161"/>
      <c r="K71" s="161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12.75" customHeight="1">
      <c r="A72" s="3"/>
      <c r="B72" s="24" t="s">
        <v>83</v>
      </c>
      <c r="C72" s="142" t="s">
        <v>84</v>
      </c>
      <c r="D72" s="142"/>
      <c r="E72" s="142"/>
      <c r="F72" s="142"/>
      <c r="G72" s="142"/>
      <c r="H72" s="142"/>
      <c r="I72" s="142"/>
      <c r="J72" s="24" t="s">
        <v>35</v>
      </c>
      <c r="K72" s="27" t="s">
        <v>85</v>
      </c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ht="12.75" customHeight="1">
      <c r="A73" s="3"/>
      <c r="B73" s="18" t="s">
        <v>24</v>
      </c>
      <c r="C73" s="138" t="s">
        <v>86</v>
      </c>
      <c r="D73" s="138"/>
      <c r="E73" s="138"/>
      <c r="F73" s="138"/>
      <c r="G73" s="138"/>
      <c r="H73" s="138"/>
      <c r="I73" s="138"/>
      <c r="J73" s="28">
        <v>0</v>
      </c>
      <c r="K73" s="13">
        <f t="shared" ref="K73:K78" si="1">J73*$K$19%</f>
        <v>0</v>
      </c>
      <c r="L73" s="3"/>
      <c r="M73" s="26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spans="1:27" ht="12.75" customHeight="1">
      <c r="A74" s="3"/>
      <c r="B74" s="18" t="s">
        <v>37</v>
      </c>
      <c r="C74" s="138" t="s">
        <v>87</v>
      </c>
      <c r="D74" s="138"/>
      <c r="E74" s="138"/>
      <c r="F74" s="138"/>
      <c r="G74" s="138"/>
      <c r="H74" s="138"/>
      <c r="I74" s="138"/>
      <c r="J74" s="18">
        <v>1.39</v>
      </c>
      <c r="K74" s="13">
        <f t="shared" si="1"/>
        <v>0</v>
      </c>
      <c r="L74" s="3"/>
      <c r="M74" s="26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2.75" customHeight="1">
      <c r="A75" s="3"/>
      <c r="B75" s="18" t="s">
        <v>46</v>
      </c>
      <c r="C75" s="138" t="s">
        <v>88</v>
      </c>
      <c r="D75" s="138"/>
      <c r="E75" s="138"/>
      <c r="F75" s="138"/>
      <c r="G75" s="138"/>
      <c r="H75" s="138"/>
      <c r="I75" s="138"/>
      <c r="J75" s="18">
        <v>0.28999999999999998</v>
      </c>
      <c r="K75" s="13">
        <f t="shared" si="1"/>
        <v>0</v>
      </c>
      <c r="L75" s="3"/>
      <c r="M75" s="26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2.75" customHeight="1">
      <c r="A76" s="3"/>
      <c r="B76" s="18" t="s">
        <v>48</v>
      </c>
      <c r="C76" s="138" t="s">
        <v>89</v>
      </c>
      <c r="D76" s="138"/>
      <c r="E76" s="138"/>
      <c r="F76" s="138"/>
      <c r="G76" s="138"/>
      <c r="H76" s="138"/>
      <c r="I76" s="138"/>
      <c r="J76" s="18">
        <v>0.02</v>
      </c>
      <c r="K76" s="13">
        <f t="shared" si="1"/>
        <v>0</v>
      </c>
      <c r="L76" s="3"/>
      <c r="M76" s="26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2.75" customHeight="1">
      <c r="A77" s="3"/>
      <c r="B77" s="18" t="s">
        <v>50</v>
      </c>
      <c r="C77" s="138" t="s">
        <v>90</v>
      </c>
      <c r="D77" s="138"/>
      <c r="E77" s="138"/>
      <c r="F77" s="138"/>
      <c r="G77" s="138"/>
      <c r="H77" s="138"/>
      <c r="I77" s="138"/>
      <c r="J77" s="18">
        <v>0.28000000000000003</v>
      </c>
      <c r="K77" s="13">
        <f t="shared" si="1"/>
        <v>0</v>
      </c>
      <c r="L77" s="3"/>
      <c r="M77" s="26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2.75" customHeight="1">
      <c r="A78" s="3"/>
      <c r="B78" s="18" t="s">
        <v>52</v>
      </c>
      <c r="C78" s="138" t="s">
        <v>91</v>
      </c>
      <c r="D78" s="138"/>
      <c r="E78" s="138"/>
      <c r="F78" s="138"/>
      <c r="G78" s="138"/>
      <c r="H78" s="138"/>
      <c r="I78" s="138"/>
      <c r="J78" s="18">
        <v>7.0000000000000007E-2</v>
      </c>
      <c r="K78" s="13">
        <f t="shared" si="1"/>
        <v>0</v>
      </c>
      <c r="L78" s="3"/>
      <c r="M78" s="26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2.75" customHeight="1">
      <c r="A79" s="3"/>
      <c r="B79" s="18"/>
      <c r="C79" s="138" t="s">
        <v>92</v>
      </c>
      <c r="D79" s="138"/>
      <c r="E79" s="138"/>
      <c r="F79" s="138"/>
      <c r="G79" s="138"/>
      <c r="H79" s="138"/>
      <c r="I79" s="138"/>
      <c r="J79" s="28">
        <f>SUM(J73:J78)</f>
        <v>2.0499999999999998</v>
      </c>
      <c r="K79" s="13">
        <f>SUM(K73:K78)</f>
        <v>0</v>
      </c>
      <c r="L79" s="3"/>
      <c r="M79" s="26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2.75" customHeight="1">
      <c r="A80" s="3"/>
      <c r="B80" s="18" t="s">
        <v>54</v>
      </c>
      <c r="C80" s="138" t="s">
        <v>93</v>
      </c>
      <c r="D80" s="138"/>
      <c r="E80" s="138"/>
      <c r="F80" s="138"/>
      <c r="G80" s="138"/>
      <c r="H80" s="138"/>
      <c r="I80" s="138"/>
      <c r="J80" s="18">
        <v>1.96</v>
      </c>
      <c r="K80" s="13">
        <f>J80*$K$19%</f>
        <v>0</v>
      </c>
      <c r="L80" s="3"/>
      <c r="M80" s="26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2.75" customHeight="1">
      <c r="A81" s="3"/>
      <c r="B81" s="18"/>
      <c r="C81" s="138" t="s">
        <v>94</v>
      </c>
      <c r="D81" s="138"/>
      <c r="E81" s="138"/>
      <c r="F81" s="138"/>
      <c r="G81" s="138"/>
      <c r="H81" s="138"/>
      <c r="I81" s="138"/>
      <c r="J81" s="28">
        <f>J79+J80</f>
        <v>4.01</v>
      </c>
      <c r="K81" s="13">
        <f>K79+K80</f>
        <v>0</v>
      </c>
      <c r="L81" s="3"/>
      <c r="M81" s="26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12.75" customHeight="1">
      <c r="A82" s="3"/>
      <c r="B82" s="18" t="s">
        <v>56</v>
      </c>
      <c r="C82" s="138" t="s">
        <v>95</v>
      </c>
      <c r="D82" s="138"/>
      <c r="E82" s="138"/>
      <c r="F82" s="138"/>
      <c r="G82" s="138"/>
      <c r="H82" s="138"/>
      <c r="I82" s="138"/>
      <c r="J82" s="18">
        <v>4.4800000000000004</v>
      </c>
      <c r="K82" s="13">
        <f>J82*$K$19%</f>
        <v>0</v>
      </c>
      <c r="L82" s="3"/>
      <c r="M82" s="26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12.75" customHeight="1">
      <c r="A83" s="3"/>
      <c r="B83" s="45"/>
      <c r="C83" s="142" t="s">
        <v>39</v>
      </c>
      <c r="D83" s="142"/>
      <c r="E83" s="142"/>
      <c r="F83" s="142"/>
      <c r="G83" s="142"/>
      <c r="H83" s="142"/>
      <c r="I83" s="142"/>
      <c r="J83" s="46">
        <f>J81+J82</f>
        <v>8.49</v>
      </c>
      <c r="K83" s="25">
        <f>K81+K82</f>
        <v>0</v>
      </c>
      <c r="L83" s="34"/>
      <c r="M83" s="34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12.75" customHeight="1">
      <c r="A84" s="3"/>
      <c r="B84" s="157" t="s">
        <v>40</v>
      </c>
      <c r="C84" s="157"/>
      <c r="D84" s="157"/>
      <c r="E84" s="157"/>
      <c r="F84" s="157"/>
      <c r="G84" s="157"/>
      <c r="H84" s="157"/>
      <c r="I84" s="157"/>
      <c r="J84" s="157"/>
      <c r="K84" s="157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2.75" customHeight="1">
      <c r="A85" s="3"/>
      <c r="B85" s="164"/>
      <c r="C85" s="164"/>
      <c r="D85" s="164"/>
      <c r="E85" s="164"/>
      <c r="F85" s="164"/>
      <c r="G85" s="164"/>
      <c r="H85" s="164"/>
      <c r="I85" s="164"/>
      <c r="J85" s="164"/>
      <c r="K85" s="164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2.75" customHeight="1">
      <c r="A86" s="3"/>
      <c r="B86" s="161" t="s">
        <v>96</v>
      </c>
      <c r="C86" s="161"/>
      <c r="D86" s="161"/>
      <c r="E86" s="161"/>
      <c r="F86" s="161"/>
      <c r="G86" s="161"/>
      <c r="H86" s="161"/>
      <c r="I86" s="161"/>
      <c r="J86" s="161"/>
      <c r="K86" s="161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2.75" customHeight="1">
      <c r="A87" s="3"/>
      <c r="B87" s="18"/>
      <c r="C87" s="142" t="s">
        <v>97</v>
      </c>
      <c r="D87" s="142"/>
      <c r="E87" s="142"/>
      <c r="F87" s="142"/>
      <c r="G87" s="142"/>
      <c r="H87" s="142"/>
      <c r="I87" s="142"/>
      <c r="J87" s="142"/>
      <c r="K87" s="24" t="s">
        <v>23</v>
      </c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2.75" customHeight="1">
      <c r="A88" s="3"/>
      <c r="B88" s="18" t="s">
        <v>24</v>
      </c>
      <c r="C88" s="138" t="s">
        <v>21</v>
      </c>
      <c r="D88" s="138"/>
      <c r="E88" s="138"/>
      <c r="F88" s="138"/>
      <c r="G88" s="138"/>
      <c r="H88" s="138"/>
      <c r="I88" s="138"/>
      <c r="J88" s="138"/>
      <c r="K88" s="13">
        <f>K19</f>
        <v>0</v>
      </c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2.75" customHeight="1">
      <c r="A89" s="3"/>
      <c r="B89" s="18" t="s">
        <v>37</v>
      </c>
      <c r="C89" s="138" t="s">
        <v>31</v>
      </c>
      <c r="D89" s="138"/>
      <c r="E89" s="138"/>
      <c r="F89" s="138"/>
      <c r="G89" s="138"/>
      <c r="H89" s="138"/>
      <c r="I89" s="138"/>
      <c r="J89" s="138"/>
      <c r="K89" s="13">
        <f>K58</f>
        <v>0</v>
      </c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3"/>
      <c r="B90" s="18" t="s">
        <v>46</v>
      </c>
      <c r="C90" s="138" t="s">
        <v>98</v>
      </c>
      <c r="D90" s="138"/>
      <c r="E90" s="138"/>
      <c r="F90" s="138"/>
      <c r="G90" s="138"/>
      <c r="H90" s="138"/>
      <c r="I90" s="138"/>
      <c r="J90" s="138"/>
      <c r="K90" s="13">
        <f>K68</f>
        <v>0</v>
      </c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2.75" customHeight="1">
      <c r="A91" s="3"/>
      <c r="B91" s="18" t="s">
        <v>48</v>
      </c>
      <c r="C91" s="138" t="s">
        <v>82</v>
      </c>
      <c r="D91" s="138"/>
      <c r="E91" s="138"/>
      <c r="F91" s="138"/>
      <c r="G91" s="138"/>
      <c r="H91" s="138"/>
      <c r="I91" s="138"/>
      <c r="J91" s="138"/>
      <c r="K91" s="13">
        <f>K83</f>
        <v>0</v>
      </c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 ht="12.75" customHeight="1">
      <c r="A92" s="3"/>
      <c r="B92" s="47"/>
      <c r="C92" s="143" t="s">
        <v>99</v>
      </c>
      <c r="D92" s="143"/>
      <c r="E92" s="143"/>
      <c r="F92" s="143"/>
      <c r="G92" s="143"/>
      <c r="H92" s="143"/>
      <c r="I92" s="143"/>
      <c r="J92" s="143"/>
      <c r="K92" s="48">
        <f>SUM(K88:K91)</f>
        <v>0</v>
      </c>
      <c r="L92" s="49"/>
      <c r="M92" s="49"/>
      <c r="N92" s="49"/>
      <c r="O92" s="49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 ht="23.25" customHeight="1">
      <c r="A93" s="3"/>
      <c r="B93" s="130"/>
      <c r="C93" s="130"/>
      <c r="D93" s="130"/>
      <c r="E93" s="130"/>
      <c r="F93" s="130"/>
      <c r="G93" s="130"/>
      <c r="H93" s="130"/>
      <c r="I93" s="130"/>
      <c r="J93" s="130"/>
      <c r="K93" s="130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 ht="17.25" customHeight="1">
      <c r="A94" s="3"/>
      <c r="B94" s="134" t="s">
        <v>100</v>
      </c>
      <c r="C94" s="134"/>
      <c r="D94" s="134"/>
      <c r="E94" s="134"/>
      <c r="F94" s="134"/>
      <c r="G94" s="134"/>
      <c r="H94" s="134"/>
      <c r="I94" s="134"/>
      <c r="J94" s="134"/>
      <c r="K94" s="134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 ht="12.75" customHeight="1">
      <c r="A95" s="3"/>
      <c r="B95" s="50" t="s">
        <v>24</v>
      </c>
      <c r="C95" s="163" t="s">
        <v>101</v>
      </c>
      <c r="D95" s="163"/>
      <c r="E95" s="6" t="s">
        <v>102</v>
      </c>
      <c r="F95" s="51" t="s">
        <v>103</v>
      </c>
      <c r="G95" s="51"/>
      <c r="H95" s="6" t="s">
        <v>104</v>
      </c>
      <c r="I95" s="153" t="s">
        <v>105</v>
      </c>
      <c r="J95" s="153"/>
      <c r="K95" s="19" t="s">
        <v>106</v>
      </c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 ht="24.75" customHeight="1">
      <c r="A96" s="3"/>
      <c r="B96" s="21" t="s">
        <v>28</v>
      </c>
      <c r="C96" s="138" t="s">
        <v>107</v>
      </c>
      <c r="D96" s="138"/>
      <c r="E96" s="52">
        <v>0</v>
      </c>
      <c r="F96" s="53" t="s">
        <v>108</v>
      </c>
      <c r="G96" s="53"/>
      <c r="H96" s="124"/>
      <c r="I96" s="151"/>
      <c r="J96" s="151"/>
      <c r="K96" s="23">
        <f>(E96*H96)*L9</f>
        <v>0</v>
      </c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 ht="12.75" customHeight="1">
      <c r="A97" s="3"/>
      <c r="B97" s="21" t="s">
        <v>29</v>
      </c>
      <c r="C97" s="138" t="s">
        <v>109</v>
      </c>
      <c r="D97" s="138"/>
      <c r="E97" s="52">
        <f>1/12</f>
        <v>8.3333333333333329E-2</v>
      </c>
      <c r="F97" s="53" t="s">
        <v>108</v>
      </c>
      <c r="G97" s="53"/>
      <c r="H97" s="124"/>
      <c r="I97" s="151"/>
      <c r="J97" s="151"/>
      <c r="K97" s="23">
        <f>(E97*H97)*L9</f>
        <v>0</v>
      </c>
      <c r="L97" s="54" t="s">
        <v>110</v>
      </c>
      <c r="M97" s="3"/>
      <c r="N97" s="55" t="s">
        <v>111</v>
      </c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 ht="12.75" customHeight="1">
      <c r="A98" s="3"/>
      <c r="B98" s="21" t="s">
        <v>112</v>
      </c>
      <c r="C98" s="138" t="s">
        <v>113</v>
      </c>
      <c r="D98" s="138"/>
      <c r="E98" s="52">
        <f>1/6</f>
        <v>0.16666666666666666</v>
      </c>
      <c r="F98" s="53" t="s">
        <v>108</v>
      </c>
      <c r="G98" s="53"/>
      <c r="H98" s="124"/>
      <c r="I98" s="151"/>
      <c r="J98" s="151"/>
      <c r="K98" s="23">
        <f>(E98*H98)*L9</f>
        <v>0</v>
      </c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.75" customHeight="1">
      <c r="A99" s="3"/>
      <c r="B99" s="21" t="s">
        <v>114</v>
      </c>
      <c r="C99" s="138" t="s">
        <v>115</v>
      </c>
      <c r="D99" s="138"/>
      <c r="E99" s="52">
        <f>1/12</f>
        <v>8.3333333333333329E-2</v>
      </c>
      <c r="F99" s="53" t="s">
        <v>108</v>
      </c>
      <c r="G99" s="53"/>
      <c r="H99" s="124"/>
      <c r="I99" s="151"/>
      <c r="J99" s="151"/>
      <c r="K99" s="23">
        <f>(E99*H99)*L9</f>
        <v>0</v>
      </c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2.75" customHeight="1">
      <c r="A100" s="3"/>
      <c r="B100" s="21"/>
      <c r="C100" s="146" t="s">
        <v>39</v>
      </c>
      <c r="D100" s="146"/>
      <c r="E100" s="146"/>
      <c r="F100" s="146"/>
      <c r="G100" s="146"/>
      <c r="H100" s="146"/>
      <c r="I100" s="146"/>
      <c r="J100" s="146"/>
      <c r="K100" s="25">
        <f>SUM(K96:K99)</f>
        <v>0</v>
      </c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2.75" customHeight="1">
      <c r="A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 ht="12.75" customHeight="1">
      <c r="A102" s="3"/>
      <c r="B102" s="50" t="s">
        <v>37</v>
      </c>
      <c r="C102" s="152" t="s">
        <v>116</v>
      </c>
      <c r="D102" s="152"/>
      <c r="E102" s="6" t="s">
        <v>117</v>
      </c>
      <c r="F102" s="56" t="s">
        <v>118</v>
      </c>
      <c r="G102" s="56"/>
      <c r="H102" s="6" t="s">
        <v>119</v>
      </c>
      <c r="I102" s="161" t="s">
        <v>120</v>
      </c>
      <c r="J102" s="161"/>
      <c r="K102" s="162" t="s">
        <v>106</v>
      </c>
      <c r="L102" s="3"/>
      <c r="M102" s="3" t="s">
        <v>121</v>
      </c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2.75" customHeight="1">
      <c r="A103" s="3"/>
      <c r="B103" s="57"/>
      <c r="C103" s="18" t="s">
        <v>122</v>
      </c>
      <c r="D103" s="18" t="s">
        <v>123</v>
      </c>
      <c r="E103" s="125"/>
      <c r="F103" s="126">
        <v>0.15</v>
      </c>
      <c r="G103" s="126"/>
      <c r="H103" s="127" t="s">
        <v>124</v>
      </c>
      <c r="I103" s="161"/>
      <c r="J103" s="161"/>
      <c r="K103" s="162"/>
      <c r="L103" s="3" t="s">
        <v>125</v>
      </c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2.75" customHeight="1">
      <c r="A104" s="4">
        <v>2024</v>
      </c>
      <c r="B104" s="21" t="s">
        <v>67</v>
      </c>
      <c r="C104" s="57" t="s">
        <v>126</v>
      </c>
      <c r="D104" s="58">
        <f>(1-F103)*((10-0)/(1+2+3+4+5+6+7+8+9+10))</f>
        <v>0.15454545454545454</v>
      </c>
      <c r="E104" s="59">
        <v>456379</v>
      </c>
      <c r="F104" s="60">
        <f t="shared" ref="F104:F114" si="2">E104*$F$103</f>
        <v>68456.849999999991</v>
      </c>
      <c r="G104" s="60"/>
      <c r="H104" s="60">
        <f t="shared" ref="H104:H114" si="3">(E104-F104)</f>
        <v>387922.15</v>
      </c>
      <c r="I104" s="155"/>
      <c r="J104" s="155"/>
      <c r="K104" s="25">
        <f t="shared" ref="K104:K114" si="4">((H104*D104)*I104)/12</f>
        <v>0</v>
      </c>
      <c r="L104" s="61">
        <f>(10-0)/(1+2+3+4+5+6+7+8+9+10)</f>
        <v>0.18181818181818182</v>
      </c>
      <c r="M104" s="3">
        <f t="shared" ref="M104:M114" si="5">85*L104</f>
        <v>15.454545454545455</v>
      </c>
      <c r="N104" s="4">
        <v>508103</v>
      </c>
      <c r="O104" s="4" t="s">
        <v>127</v>
      </c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2.75" customHeight="1">
      <c r="A105" s="4">
        <v>2023</v>
      </c>
      <c r="B105" s="21" t="s">
        <v>69</v>
      </c>
      <c r="C105" s="57" t="s">
        <v>128</v>
      </c>
      <c r="D105" s="58">
        <f>(1-0.15)*((10-1)/(1+2+3+4+5+6+7+8+9+10))</f>
        <v>0.1390909090909091</v>
      </c>
      <c r="E105" s="59">
        <v>406774</v>
      </c>
      <c r="F105" s="60">
        <f t="shared" si="2"/>
        <v>61016.1</v>
      </c>
      <c r="G105" s="60"/>
      <c r="H105" s="60">
        <f t="shared" si="3"/>
        <v>345757.9</v>
      </c>
      <c r="I105" s="155"/>
      <c r="J105" s="155"/>
      <c r="K105" s="25">
        <f t="shared" si="4"/>
        <v>0</v>
      </c>
      <c r="L105" s="61">
        <f>(10-1)/(1+2+3+4+5+6+7+8+9+10)</f>
        <v>0.16363636363636364</v>
      </c>
      <c r="M105" s="3">
        <f t="shared" si="5"/>
        <v>13.909090909090908</v>
      </c>
      <c r="N105" s="4">
        <v>508038</v>
      </c>
      <c r="O105" s="4" t="s">
        <v>127</v>
      </c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2.75" customHeight="1">
      <c r="A106" s="4">
        <v>2022</v>
      </c>
      <c r="B106" s="21" t="s">
        <v>129</v>
      </c>
      <c r="C106" s="57" t="s">
        <v>130</v>
      </c>
      <c r="D106" s="58">
        <f>(1-0.15)*((10-2)/(1+2+3+4+5+6+7+8+9+10))</f>
        <v>0.12363636363636363</v>
      </c>
      <c r="E106" s="59">
        <v>353036</v>
      </c>
      <c r="F106" s="60">
        <f t="shared" si="2"/>
        <v>52955.4</v>
      </c>
      <c r="G106" s="60"/>
      <c r="H106" s="60">
        <f t="shared" si="3"/>
        <v>300080.59999999998</v>
      </c>
      <c r="I106" s="155"/>
      <c r="J106" s="155"/>
      <c r="K106" s="25">
        <f t="shared" si="4"/>
        <v>0</v>
      </c>
      <c r="L106" s="61">
        <f>(10-2)/(1+2+3+4+5+6+7+8+9+10)</f>
        <v>0.14545454545454545</v>
      </c>
      <c r="M106" s="3">
        <f t="shared" si="5"/>
        <v>12.363636363636363</v>
      </c>
      <c r="N106" s="4">
        <v>508038</v>
      </c>
      <c r="O106" s="4" t="s">
        <v>127</v>
      </c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2.75" customHeight="1">
      <c r="A107" s="4">
        <v>2021</v>
      </c>
      <c r="B107" s="21" t="s">
        <v>131</v>
      </c>
      <c r="C107" s="57" t="s">
        <v>132</v>
      </c>
      <c r="D107" s="58">
        <f>(1-0.15)*((10-3)/(1+2+3+4+5+6+7+8+9+10))</f>
        <v>0.10818181818181817</v>
      </c>
      <c r="E107" s="59">
        <v>292257</v>
      </c>
      <c r="F107" s="60">
        <f t="shared" si="2"/>
        <v>43838.549999999996</v>
      </c>
      <c r="G107" s="60"/>
      <c r="H107" s="60">
        <f t="shared" si="3"/>
        <v>248418.45</v>
      </c>
      <c r="I107" s="155"/>
      <c r="J107" s="155"/>
      <c r="K107" s="25">
        <f t="shared" si="4"/>
        <v>0</v>
      </c>
      <c r="L107" s="61">
        <f>(10-3)/(1+2+3+4+5+6+7+8+9+10)</f>
        <v>0.12727272727272726</v>
      </c>
      <c r="M107" s="3">
        <f t="shared" si="5"/>
        <v>10.818181818181817</v>
      </c>
      <c r="N107" s="4">
        <v>508038</v>
      </c>
      <c r="O107" s="4" t="s">
        <v>127</v>
      </c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2.75" customHeight="1">
      <c r="A108" s="4">
        <v>2020</v>
      </c>
      <c r="B108" s="21" t="s">
        <v>133</v>
      </c>
      <c r="C108" s="57" t="s">
        <v>134</v>
      </c>
      <c r="D108" s="58">
        <f>(1-0.15)*((10-4)/(1+2+3+4+5+6+7+8+9+10))</f>
        <v>9.2727272727272714E-2</v>
      </c>
      <c r="E108" s="59">
        <v>244304</v>
      </c>
      <c r="F108" s="60">
        <f t="shared" si="2"/>
        <v>36645.599999999999</v>
      </c>
      <c r="G108" s="60"/>
      <c r="H108" s="60">
        <f t="shared" si="3"/>
        <v>207658.4</v>
      </c>
      <c r="I108" s="155"/>
      <c r="J108" s="155"/>
      <c r="K108" s="25">
        <f t="shared" si="4"/>
        <v>0</v>
      </c>
      <c r="L108" s="61">
        <f>(10-4)/(1+2+3+4+5+6+7+8+9+10)</f>
        <v>0.10909090909090909</v>
      </c>
      <c r="M108" s="3">
        <f t="shared" si="5"/>
        <v>9.2727272727272716</v>
      </c>
      <c r="N108" s="4">
        <v>508038</v>
      </c>
      <c r="O108" s="4" t="s">
        <v>127</v>
      </c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2.75" customHeight="1">
      <c r="A109" s="4">
        <v>2019</v>
      </c>
      <c r="B109" s="21" t="s">
        <v>135</v>
      </c>
      <c r="C109" s="57" t="s">
        <v>136</v>
      </c>
      <c r="D109" s="58">
        <f>(1-0.15)*((10-5)/(1+2+3+4+5+6+7+8+9+10))</f>
        <v>7.7272727272727271E-2</v>
      </c>
      <c r="E109" s="59">
        <v>214894</v>
      </c>
      <c r="F109" s="60">
        <f t="shared" si="2"/>
        <v>32234.1</v>
      </c>
      <c r="G109" s="60"/>
      <c r="H109" s="60">
        <f t="shared" si="3"/>
        <v>182659.9</v>
      </c>
      <c r="I109" s="155"/>
      <c r="J109" s="155"/>
      <c r="K109" s="25">
        <f t="shared" si="4"/>
        <v>0</v>
      </c>
      <c r="L109" s="61">
        <f>(10-5)/(1+2+3+4+5+6+7+8+9+10)</f>
        <v>9.0909090909090912E-2</v>
      </c>
      <c r="M109" s="3">
        <f t="shared" si="5"/>
        <v>7.7272727272727275</v>
      </c>
      <c r="N109" s="4">
        <v>508038</v>
      </c>
      <c r="O109" s="4" t="s">
        <v>127</v>
      </c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2.75" customHeight="1">
      <c r="A110" s="4">
        <v>2018</v>
      </c>
      <c r="B110" s="21" t="s">
        <v>137</v>
      </c>
      <c r="C110" s="57" t="s">
        <v>138</v>
      </c>
      <c r="D110" s="58">
        <f>(1-0.15)*((10-6)/(1+2+3+4+5+6+7+8+9+10))</f>
        <v>6.1818181818181814E-2</v>
      </c>
      <c r="E110" s="59">
        <v>186229</v>
      </c>
      <c r="F110" s="60">
        <f t="shared" si="2"/>
        <v>27934.35</v>
      </c>
      <c r="G110" s="60"/>
      <c r="H110" s="60">
        <f t="shared" si="3"/>
        <v>158294.65</v>
      </c>
      <c r="I110" s="155"/>
      <c r="J110" s="155"/>
      <c r="K110" s="25">
        <f t="shared" si="4"/>
        <v>0</v>
      </c>
      <c r="L110" s="61">
        <f>(10-6)/(1+2+3+4+5+6+7+8+9+10)</f>
        <v>7.2727272727272724E-2</v>
      </c>
      <c r="M110" s="3">
        <f t="shared" si="5"/>
        <v>6.1818181818181817</v>
      </c>
      <c r="N110" s="4">
        <v>508038</v>
      </c>
      <c r="O110" s="4" t="s">
        <v>127</v>
      </c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2.75" customHeight="1">
      <c r="A111" s="4">
        <v>2017</v>
      </c>
      <c r="B111" s="21" t="s">
        <v>139</v>
      </c>
      <c r="C111" s="57" t="s">
        <v>140</v>
      </c>
      <c r="D111" s="58">
        <f>(1-0.15)*((10-7)/(1+2+3+4+5+6+7+8+9+10))</f>
        <v>4.6363636363636357E-2</v>
      </c>
      <c r="E111" s="59">
        <v>167870</v>
      </c>
      <c r="F111" s="60">
        <f t="shared" si="2"/>
        <v>25180.5</v>
      </c>
      <c r="G111" s="60"/>
      <c r="H111" s="60">
        <f t="shared" si="3"/>
        <v>142689.5</v>
      </c>
      <c r="I111" s="155"/>
      <c r="J111" s="155"/>
      <c r="K111" s="25">
        <f t="shared" si="4"/>
        <v>0</v>
      </c>
      <c r="L111" s="61">
        <f>(10-7)/(1+2+3+4+5+6+7+8+9+10)</f>
        <v>5.4545454545454543E-2</v>
      </c>
      <c r="M111" s="3">
        <f t="shared" si="5"/>
        <v>4.6363636363636358</v>
      </c>
      <c r="N111" s="4">
        <v>508038</v>
      </c>
      <c r="O111" s="4" t="s">
        <v>127</v>
      </c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 ht="12.75" customHeight="1">
      <c r="A112" s="4">
        <v>2016</v>
      </c>
      <c r="B112" s="21" t="s">
        <v>141</v>
      </c>
      <c r="C112" s="57" t="s">
        <v>142</v>
      </c>
      <c r="D112" s="58">
        <f>(1-0.15)*((10-8)/(1+2+3+4+5+6+7+8+9+10))</f>
        <v>3.0909090909090907E-2</v>
      </c>
      <c r="E112" s="59">
        <v>158776</v>
      </c>
      <c r="F112" s="60">
        <f t="shared" si="2"/>
        <v>23816.399999999998</v>
      </c>
      <c r="G112" s="60"/>
      <c r="H112" s="60">
        <f t="shared" si="3"/>
        <v>134959.6</v>
      </c>
      <c r="I112" s="155"/>
      <c r="J112" s="155"/>
      <c r="K112" s="25">
        <f t="shared" si="4"/>
        <v>0</v>
      </c>
      <c r="L112" s="61">
        <f>(10-8)/(1+2+3+4+5+6+7+8+9+10)</f>
        <v>3.6363636363636362E-2</v>
      </c>
      <c r="M112" s="3">
        <f t="shared" si="5"/>
        <v>3.0909090909090908</v>
      </c>
      <c r="N112" s="4">
        <v>508038</v>
      </c>
      <c r="O112" s="4" t="s">
        <v>127</v>
      </c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2.75" customHeight="1">
      <c r="A113" s="4">
        <v>2015</v>
      </c>
      <c r="B113" s="21" t="s">
        <v>143</v>
      </c>
      <c r="C113" s="57" t="s">
        <v>144</v>
      </c>
      <c r="D113" s="58">
        <f>(1-0.15)*((10-9)/(1+2+3+4+5+6+7+8+9+10))</f>
        <v>1.5454545454545453E-2</v>
      </c>
      <c r="E113" s="59">
        <v>153210</v>
      </c>
      <c r="F113" s="60">
        <f t="shared" si="2"/>
        <v>22981.5</v>
      </c>
      <c r="G113" s="60"/>
      <c r="H113" s="60">
        <f t="shared" si="3"/>
        <v>130228.5</v>
      </c>
      <c r="I113" s="155"/>
      <c r="J113" s="155"/>
      <c r="K113" s="25">
        <f t="shared" si="4"/>
        <v>0</v>
      </c>
      <c r="L113" s="61">
        <f>(10-9)/(1+2+3+4+5+6+7+8+9+10)</f>
        <v>1.8181818181818181E-2</v>
      </c>
      <c r="M113" s="3">
        <f t="shared" si="5"/>
        <v>1.5454545454545454</v>
      </c>
      <c r="N113" s="4">
        <v>508038</v>
      </c>
      <c r="O113" s="4" t="s">
        <v>127</v>
      </c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 ht="12.75" customHeight="1">
      <c r="A114" s="4">
        <v>2014</v>
      </c>
      <c r="B114" s="21" t="s">
        <v>145</v>
      </c>
      <c r="C114" s="57" t="s">
        <v>146</v>
      </c>
      <c r="D114" s="58">
        <f>(1-0.15)*((10-10)/(1+2+3+4+5+6+7+8+9+10))</f>
        <v>0</v>
      </c>
      <c r="E114" s="59">
        <v>143651</v>
      </c>
      <c r="F114" s="60">
        <f t="shared" si="2"/>
        <v>21547.649999999998</v>
      </c>
      <c r="G114" s="60"/>
      <c r="H114" s="60">
        <f t="shared" si="3"/>
        <v>122103.35</v>
      </c>
      <c r="I114" s="155"/>
      <c r="J114" s="155"/>
      <c r="K114" s="25">
        <f t="shared" si="4"/>
        <v>0</v>
      </c>
      <c r="L114" s="61">
        <f>(10-10)/(1+2+3+4+5+6+7+8+9+10)</f>
        <v>0</v>
      </c>
      <c r="M114" s="3">
        <f t="shared" si="5"/>
        <v>0</v>
      </c>
      <c r="N114" s="4">
        <v>508038</v>
      </c>
      <c r="O114" s="4" t="s">
        <v>127</v>
      </c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 ht="15" customHeight="1">
      <c r="A115" s="3"/>
      <c r="B115" s="18"/>
      <c r="C115" s="146" t="s">
        <v>39</v>
      </c>
      <c r="D115" s="146"/>
      <c r="E115" s="146"/>
      <c r="F115" s="146"/>
      <c r="G115" s="146"/>
      <c r="H115" s="146"/>
      <c r="I115" s="146"/>
      <c r="J115" s="146"/>
      <c r="K115" s="25">
        <f>SUM(K104:K114)</f>
        <v>0</v>
      </c>
      <c r="L115" s="61">
        <f>SUM(L104:L114)</f>
        <v>1</v>
      </c>
      <c r="M115" s="3">
        <f>SUM(M104:M114)</f>
        <v>85.000000000000014</v>
      </c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2.75" customHeight="1">
      <c r="A116" s="3"/>
      <c r="B116" s="157" t="s">
        <v>147</v>
      </c>
      <c r="C116" s="157"/>
      <c r="D116" s="157"/>
      <c r="E116" s="157"/>
      <c r="F116" s="157"/>
      <c r="G116" s="157"/>
      <c r="H116" s="157"/>
      <c r="I116" s="157"/>
      <c r="J116" s="157"/>
      <c r="K116" s="157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5" customHeight="1">
      <c r="A117" s="17"/>
      <c r="L117" s="3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</row>
    <row r="118" spans="1:27" ht="15" customHeight="1">
      <c r="A118" s="17"/>
      <c r="B118" s="50" t="s">
        <v>46</v>
      </c>
      <c r="C118" s="152" t="s">
        <v>148</v>
      </c>
      <c r="D118" s="152"/>
      <c r="E118" s="6" t="s">
        <v>117</v>
      </c>
      <c r="F118" s="158" t="s">
        <v>149</v>
      </c>
      <c r="G118" s="158"/>
      <c r="H118" s="158"/>
      <c r="I118" s="153" t="s">
        <v>105</v>
      </c>
      <c r="J118" s="153"/>
      <c r="K118" s="19" t="s">
        <v>106</v>
      </c>
      <c r="L118" s="3"/>
      <c r="M118" s="3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</row>
    <row r="119" spans="1:27" ht="15" customHeight="1">
      <c r="A119" s="17"/>
      <c r="B119" s="57"/>
      <c r="C119" s="18" t="s">
        <v>122</v>
      </c>
      <c r="D119" s="18"/>
      <c r="E119" s="125"/>
      <c r="F119" s="159">
        <v>0.105</v>
      </c>
      <c r="G119" s="159"/>
      <c r="H119" s="159"/>
      <c r="I119" s="160" t="s">
        <v>150</v>
      </c>
      <c r="J119" s="160"/>
      <c r="K119" s="23"/>
      <c r="L119" s="62" t="s">
        <v>151</v>
      </c>
      <c r="M119" s="63" t="s">
        <v>152</v>
      </c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</row>
    <row r="120" spans="1:27" ht="15" customHeight="1">
      <c r="A120" s="17"/>
      <c r="B120" s="21" t="s">
        <v>153</v>
      </c>
      <c r="C120" s="57" t="s">
        <v>126</v>
      </c>
      <c r="D120" s="58">
        <f>F119</f>
        <v>0.105</v>
      </c>
      <c r="E120" s="60">
        <f t="shared" ref="E120:E130" si="6">E104</f>
        <v>456379</v>
      </c>
      <c r="F120" s="156">
        <f t="shared" ref="F120:F130" si="7">I104</f>
        <v>0</v>
      </c>
      <c r="G120" s="156"/>
      <c r="H120" s="156"/>
      <c r="I120" s="156"/>
      <c r="J120" s="156"/>
      <c r="K120" s="25">
        <f t="shared" ref="K120:K130" si="8">(D120*E120*F120)/12</f>
        <v>0</v>
      </c>
      <c r="L120" s="62" t="s">
        <v>154</v>
      </c>
      <c r="M120" s="3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</row>
    <row r="121" spans="1:27" ht="15" customHeight="1">
      <c r="A121" s="17"/>
      <c r="B121" s="21" t="s">
        <v>155</v>
      </c>
      <c r="C121" s="57" t="s">
        <v>128</v>
      </c>
      <c r="D121" s="58">
        <f>($F$119)*(1-D104)</f>
        <v>8.8772727272727267E-2</v>
      </c>
      <c r="E121" s="60">
        <f t="shared" si="6"/>
        <v>406774</v>
      </c>
      <c r="F121" s="156">
        <f t="shared" si="7"/>
        <v>0</v>
      </c>
      <c r="G121" s="156"/>
      <c r="H121" s="156"/>
      <c r="I121" s="156"/>
      <c r="J121" s="156"/>
      <c r="K121" s="25">
        <f t="shared" si="8"/>
        <v>0</v>
      </c>
      <c r="L121" s="64">
        <v>45462</v>
      </c>
      <c r="M121" s="3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</row>
    <row r="122" spans="1:27" ht="15" customHeight="1">
      <c r="A122" s="17"/>
      <c r="B122" s="21" t="s">
        <v>156</v>
      </c>
      <c r="C122" s="57" t="s">
        <v>130</v>
      </c>
      <c r="D122" s="58">
        <f>($F$119)*(1-(D104+D105))</f>
        <v>7.4168181818181814E-2</v>
      </c>
      <c r="E122" s="60">
        <f t="shared" si="6"/>
        <v>353036</v>
      </c>
      <c r="F122" s="156">
        <f t="shared" si="7"/>
        <v>0</v>
      </c>
      <c r="G122" s="156"/>
      <c r="H122" s="156"/>
      <c r="I122" s="156"/>
      <c r="J122" s="156"/>
      <c r="K122" s="25">
        <f t="shared" si="8"/>
        <v>0</v>
      </c>
      <c r="L122" s="61"/>
      <c r="M122" s="3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</row>
    <row r="123" spans="1:27" ht="15" customHeight="1">
      <c r="A123" s="17"/>
      <c r="B123" s="21" t="s">
        <v>157</v>
      </c>
      <c r="C123" s="57" t="s">
        <v>132</v>
      </c>
      <c r="D123" s="58">
        <f>($F$119)*(1-(D104+D105+D106))</f>
        <v>6.1186363636363636E-2</v>
      </c>
      <c r="E123" s="60">
        <f t="shared" si="6"/>
        <v>292257</v>
      </c>
      <c r="F123" s="156">
        <f t="shared" si="7"/>
        <v>0</v>
      </c>
      <c r="G123" s="156"/>
      <c r="H123" s="156"/>
      <c r="I123" s="156"/>
      <c r="J123" s="156"/>
      <c r="K123" s="25">
        <f t="shared" si="8"/>
        <v>0</v>
      </c>
      <c r="L123" s="61"/>
      <c r="M123" s="3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</row>
    <row r="124" spans="1:27" ht="15" customHeight="1">
      <c r="A124" s="17"/>
      <c r="B124" s="21" t="s">
        <v>158</v>
      </c>
      <c r="C124" s="57" t="s">
        <v>134</v>
      </c>
      <c r="D124" s="58">
        <f>($F$119)*(1-(D104+D105+D106+D107))</f>
        <v>4.9827272727272734E-2</v>
      </c>
      <c r="E124" s="60">
        <f t="shared" si="6"/>
        <v>244304</v>
      </c>
      <c r="F124" s="156">
        <f t="shared" si="7"/>
        <v>0</v>
      </c>
      <c r="G124" s="156"/>
      <c r="H124" s="156"/>
      <c r="I124" s="156"/>
      <c r="J124" s="156"/>
      <c r="K124" s="25">
        <f t="shared" si="8"/>
        <v>0</v>
      </c>
      <c r="L124" s="61"/>
      <c r="M124" s="3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</row>
    <row r="125" spans="1:27" ht="15" customHeight="1">
      <c r="A125" s="17"/>
      <c r="B125" s="21" t="s">
        <v>159</v>
      </c>
      <c r="C125" s="57" t="s">
        <v>136</v>
      </c>
      <c r="D125" s="58">
        <f>($F$119)*(1-(D104+D105+D106+D107+D108))</f>
        <v>4.0090909090909094E-2</v>
      </c>
      <c r="E125" s="60">
        <f t="shared" si="6"/>
        <v>214894</v>
      </c>
      <c r="F125" s="156">
        <f t="shared" si="7"/>
        <v>0</v>
      </c>
      <c r="G125" s="156"/>
      <c r="H125" s="156"/>
      <c r="I125" s="156"/>
      <c r="J125" s="156"/>
      <c r="K125" s="25">
        <f t="shared" si="8"/>
        <v>0</v>
      </c>
      <c r="L125" s="61"/>
      <c r="M125" s="3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</row>
    <row r="126" spans="1:27" ht="15" customHeight="1">
      <c r="A126" s="17"/>
      <c r="B126" s="21" t="s">
        <v>160</v>
      </c>
      <c r="C126" s="57" t="s">
        <v>138</v>
      </c>
      <c r="D126" s="58">
        <f>($F$119)*(1-(D104+D105+D106+D107+D108+D109))</f>
        <v>3.1977272727272729E-2</v>
      </c>
      <c r="E126" s="60">
        <f t="shared" si="6"/>
        <v>186229</v>
      </c>
      <c r="F126" s="156">
        <f t="shared" si="7"/>
        <v>0</v>
      </c>
      <c r="G126" s="156"/>
      <c r="H126" s="156"/>
      <c r="I126" s="156"/>
      <c r="J126" s="156"/>
      <c r="K126" s="25">
        <f t="shared" si="8"/>
        <v>0</v>
      </c>
      <c r="L126" s="61"/>
      <c r="M126" s="3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</row>
    <row r="127" spans="1:27" ht="15" customHeight="1">
      <c r="A127" s="17"/>
      <c r="B127" s="21" t="s">
        <v>161</v>
      </c>
      <c r="C127" s="57" t="s">
        <v>140</v>
      </c>
      <c r="D127" s="58">
        <f>($F$119)*(1-(D104+D105+D106+D107+D108+D109+D110))</f>
        <v>2.5486363636363644E-2</v>
      </c>
      <c r="E127" s="60">
        <f t="shared" si="6"/>
        <v>167870</v>
      </c>
      <c r="F127" s="156">
        <f t="shared" si="7"/>
        <v>0</v>
      </c>
      <c r="G127" s="156"/>
      <c r="H127" s="156"/>
      <c r="I127" s="156"/>
      <c r="J127" s="156"/>
      <c r="K127" s="25">
        <f t="shared" si="8"/>
        <v>0</v>
      </c>
      <c r="L127" s="61"/>
      <c r="M127" s="3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</row>
    <row r="128" spans="1:27" ht="15" customHeight="1">
      <c r="A128" s="17"/>
      <c r="B128" s="21" t="s">
        <v>162</v>
      </c>
      <c r="C128" s="57" t="s">
        <v>142</v>
      </c>
      <c r="D128" s="58">
        <f>($F$119)*(1-(D104+D105+D106+D107+D108+D109+D110+D111))</f>
        <v>2.061818181818182E-2</v>
      </c>
      <c r="E128" s="60">
        <f t="shared" si="6"/>
        <v>158776</v>
      </c>
      <c r="F128" s="156">
        <f t="shared" si="7"/>
        <v>0</v>
      </c>
      <c r="G128" s="156"/>
      <c r="H128" s="156"/>
      <c r="I128" s="156"/>
      <c r="J128" s="156"/>
      <c r="K128" s="25">
        <f t="shared" si="8"/>
        <v>0</v>
      </c>
      <c r="L128" s="61"/>
      <c r="M128" s="3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</row>
    <row r="129" spans="1:27" ht="15" customHeight="1">
      <c r="A129" s="17"/>
      <c r="B129" s="21" t="s">
        <v>163</v>
      </c>
      <c r="C129" s="57" t="s">
        <v>144</v>
      </c>
      <c r="D129" s="58">
        <f>($F$119)*(1-(D104+D105+D106+D107+D108+D109+D110+D111+D112))</f>
        <v>1.7372727272727279E-2</v>
      </c>
      <c r="E129" s="60">
        <f t="shared" si="6"/>
        <v>153210</v>
      </c>
      <c r="F129" s="156">
        <f t="shared" si="7"/>
        <v>0</v>
      </c>
      <c r="G129" s="156"/>
      <c r="H129" s="156"/>
      <c r="I129" s="156"/>
      <c r="J129" s="156"/>
      <c r="K129" s="25">
        <f t="shared" si="8"/>
        <v>0</v>
      </c>
      <c r="L129" s="61"/>
      <c r="M129" s="3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</row>
    <row r="130" spans="1:27" ht="15" customHeight="1">
      <c r="A130" s="17"/>
      <c r="B130" s="21" t="s">
        <v>164</v>
      </c>
      <c r="C130" s="57" t="s">
        <v>146</v>
      </c>
      <c r="D130" s="58">
        <f>($F$119)*(1-(D104+D105+D106+D107+D108+D109+D110+D111+D112+D113))</f>
        <v>1.575E-2</v>
      </c>
      <c r="E130" s="60">
        <f t="shared" si="6"/>
        <v>143651</v>
      </c>
      <c r="F130" s="156">
        <f t="shared" si="7"/>
        <v>0</v>
      </c>
      <c r="G130" s="156"/>
      <c r="H130" s="156"/>
      <c r="I130" s="156"/>
      <c r="J130" s="156"/>
      <c r="K130" s="25">
        <f t="shared" si="8"/>
        <v>0</v>
      </c>
      <c r="L130" s="61"/>
      <c r="M130" s="3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</row>
    <row r="131" spans="1:27" ht="15" customHeight="1">
      <c r="A131" s="17"/>
      <c r="B131" s="21"/>
      <c r="C131" s="146" t="s">
        <v>39</v>
      </c>
      <c r="D131" s="146"/>
      <c r="E131" s="146"/>
      <c r="F131" s="146"/>
      <c r="G131" s="146"/>
      <c r="H131" s="146"/>
      <c r="I131" s="146"/>
      <c r="J131" s="146"/>
      <c r="K131" s="25">
        <f>SUM(K120:K130)</f>
        <v>0</v>
      </c>
      <c r="L131" s="65"/>
      <c r="M131" s="34">
        <f>K131+K115</f>
        <v>0</v>
      </c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</row>
    <row r="132" spans="1:27" ht="15" customHeight="1">
      <c r="A132" s="3"/>
      <c r="L132" s="3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</row>
    <row r="133" spans="1:27" ht="15" customHeight="1">
      <c r="A133" s="17"/>
      <c r="B133" s="50" t="s">
        <v>48</v>
      </c>
      <c r="C133" s="154" t="s">
        <v>165</v>
      </c>
      <c r="D133" s="154"/>
      <c r="E133" s="6" t="s">
        <v>166</v>
      </c>
      <c r="F133" s="6" t="s">
        <v>167</v>
      </c>
      <c r="G133" s="6"/>
      <c r="H133" s="6" t="s">
        <v>168</v>
      </c>
      <c r="I133" s="153" t="s">
        <v>169</v>
      </c>
      <c r="J133" s="153"/>
      <c r="K133" s="19" t="s">
        <v>106</v>
      </c>
      <c r="L133" s="3">
        <f>E134*F134</f>
        <v>2240</v>
      </c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</row>
    <row r="134" spans="1:27" ht="12.75" customHeight="1">
      <c r="A134" s="3"/>
      <c r="B134" s="21" t="s">
        <v>170</v>
      </c>
      <c r="C134" s="138" t="s">
        <v>171</v>
      </c>
      <c r="D134" s="138"/>
      <c r="E134" s="53">
        <v>112</v>
      </c>
      <c r="F134" s="11">
        <v>20</v>
      </c>
      <c r="G134" s="11"/>
      <c r="H134" s="66"/>
      <c r="I134" s="155"/>
      <c r="J134" s="155"/>
      <c r="K134" s="23" t="e">
        <f>(H134*F134*E134)/I134</f>
        <v>#DIV/0!</v>
      </c>
      <c r="L134" s="67" t="s">
        <v>172</v>
      </c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2.75" customHeight="1">
      <c r="A135" s="3"/>
      <c r="B135" s="21"/>
      <c r="C135" s="146" t="s">
        <v>39</v>
      </c>
      <c r="D135" s="146"/>
      <c r="E135" s="146"/>
      <c r="F135" s="146"/>
      <c r="G135" s="146"/>
      <c r="H135" s="146"/>
      <c r="I135" s="146"/>
      <c r="J135" s="146"/>
      <c r="K135" s="25" t="e">
        <f>SUM(K134)</f>
        <v>#DIV/0!</v>
      </c>
      <c r="L135" s="68" t="s">
        <v>173</v>
      </c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2.75" customHeight="1">
      <c r="A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2.75" customHeight="1">
      <c r="A137" s="3"/>
      <c r="B137" s="50" t="s">
        <v>50</v>
      </c>
      <c r="C137" s="152" t="s">
        <v>174</v>
      </c>
      <c r="D137" s="152"/>
      <c r="E137" s="6" t="s">
        <v>102</v>
      </c>
      <c r="F137" s="56" t="s">
        <v>103</v>
      </c>
      <c r="G137" s="56"/>
      <c r="H137" s="6" t="s">
        <v>175</v>
      </c>
      <c r="I137" s="153" t="s">
        <v>105</v>
      </c>
      <c r="J137" s="153"/>
      <c r="K137" s="19" t="s">
        <v>106</v>
      </c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25.5" customHeight="1">
      <c r="A138" s="3"/>
      <c r="B138" s="21" t="s">
        <v>176</v>
      </c>
      <c r="C138" s="138" t="s">
        <v>177</v>
      </c>
      <c r="D138" s="138"/>
      <c r="E138" s="18">
        <v>1</v>
      </c>
      <c r="F138" s="18" t="s">
        <v>178</v>
      </c>
      <c r="G138" s="18"/>
      <c r="H138" s="128"/>
      <c r="I138" s="151"/>
      <c r="J138" s="151"/>
      <c r="K138" s="23">
        <f>H138*E138</f>
        <v>0</v>
      </c>
      <c r="M138" s="1" t="s">
        <v>179</v>
      </c>
      <c r="O138" s="3"/>
      <c r="P138" s="3"/>
      <c r="Q138" s="70">
        <v>1900</v>
      </c>
      <c r="R138" s="3" t="s">
        <v>180</v>
      </c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12.75" customHeight="1">
      <c r="A139" s="3"/>
      <c r="B139" s="21" t="s">
        <v>181</v>
      </c>
      <c r="C139" s="138" t="s">
        <v>182</v>
      </c>
      <c r="D139" s="138"/>
      <c r="E139" s="18">
        <v>4</v>
      </c>
      <c r="F139" s="18" t="s">
        <v>178</v>
      </c>
      <c r="G139" s="18"/>
      <c r="H139" s="128"/>
      <c r="I139" s="151"/>
      <c r="J139" s="151"/>
      <c r="K139" s="23">
        <f>H139*E139</f>
        <v>0</v>
      </c>
      <c r="L139" s="3" t="s">
        <v>183</v>
      </c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12" customHeight="1">
      <c r="A140" s="3"/>
      <c r="B140" s="21" t="s">
        <v>184</v>
      </c>
      <c r="C140" s="138" t="s">
        <v>185</v>
      </c>
      <c r="D140" s="138"/>
      <c r="E140" s="18">
        <v>6</v>
      </c>
      <c r="F140" s="18" t="s">
        <v>186</v>
      </c>
      <c r="G140" s="18"/>
      <c r="H140" s="128"/>
      <c r="I140" s="151"/>
      <c r="J140" s="151"/>
      <c r="K140" s="23">
        <f>(H140*E140)/12</f>
        <v>0</v>
      </c>
      <c r="L140" s="3" t="s">
        <v>187</v>
      </c>
      <c r="M140" s="1" t="s">
        <v>188</v>
      </c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"/>
      <c r="B141" s="21"/>
      <c r="C141" s="146" t="s">
        <v>39</v>
      </c>
      <c r="D141" s="146"/>
      <c r="E141" s="146"/>
      <c r="F141" s="146"/>
      <c r="G141" s="146"/>
      <c r="H141" s="146"/>
      <c r="I141" s="146"/>
      <c r="J141" s="146"/>
      <c r="K141" s="25">
        <f>SUM(K138:K140)</f>
        <v>0</v>
      </c>
      <c r="L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2.75" customHeight="1">
      <c r="A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 ht="12.75" customHeight="1">
      <c r="A143" s="3"/>
      <c r="B143" s="50" t="s">
        <v>52</v>
      </c>
      <c r="C143" s="152" t="s">
        <v>189</v>
      </c>
      <c r="D143" s="152"/>
      <c r="E143" s="6" t="s">
        <v>102</v>
      </c>
      <c r="F143" s="56" t="s">
        <v>103</v>
      </c>
      <c r="G143" s="56"/>
      <c r="H143" s="6" t="s">
        <v>175</v>
      </c>
      <c r="I143" s="153" t="s">
        <v>105</v>
      </c>
      <c r="J143" s="153"/>
      <c r="K143" s="19" t="s">
        <v>106</v>
      </c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 ht="12.75" customHeight="1">
      <c r="A144" s="3"/>
      <c r="B144" s="21" t="s">
        <v>190</v>
      </c>
      <c r="C144" s="138" t="s">
        <v>191</v>
      </c>
      <c r="D144" s="138"/>
      <c r="E144" s="18">
        <v>1</v>
      </c>
      <c r="F144" s="18" t="s">
        <v>178</v>
      </c>
      <c r="G144" s="18"/>
      <c r="H144" s="128"/>
      <c r="I144" s="151"/>
      <c r="J144" s="151"/>
      <c r="K144" s="23">
        <f>H144*E144</f>
        <v>0</v>
      </c>
      <c r="L144" s="3" t="s">
        <v>192</v>
      </c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 ht="12.75" customHeight="1">
      <c r="A145" s="3"/>
      <c r="B145" s="21"/>
      <c r="C145" s="146" t="s">
        <v>39</v>
      </c>
      <c r="D145" s="146"/>
      <c r="E145" s="146"/>
      <c r="F145" s="146"/>
      <c r="G145" s="146"/>
      <c r="H145" s="146"/>
      <c r="I145" s="146"/>
      <c r="J145" s="146"/>
      <c r="K145" s="25">
        <f>SUM(K144)</f>
        <v>0</v>
      </c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 ht="12.75" customHeight="1">
      <c r="A146" s="3"/>
      <c r="B146" s="142" t="s">
        <v>193</v>
      </c>
      <c r="C146" s="142"/>
      <c r="D146" s="142"/>
      <c r="E146" s="142"/>
      <c r="F146" s="142"/>
      <c r="G146" s="142"/>
      <c r="H146" s="142"/>
      <c r="I146" s="142"/>
      <c r="J146" s="142"/>
      <c r="K146" s="25" t="e">
        <f>K145+K141+K135+K131+K115+K100</f>
        <v>#DIV/0!</v>
      </c>
      <c r="L146" s="3"/>
      <c r="M146" s="26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8" customHeight="1">
      <c r="A147" s="3"/>
      <c r="B147" s="147"/>
      <c r="C147" s="147"/>
      <c r="D147" s="147"/>
      <c r="E147" s="147"/>
      <c r="F147" s="147"/>
      <c r="G147" s="147"/>
      <c r="H147" s="147"/>
      <c r="I147" s="147"/>
      <c r="J147" s="147"/>
      <c r="K147" s="147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7.25" customHeight="1">
      <c r="A148" s="3"/>
      <c r="B148" s="134" t="s">
        <v>194</v>
      </c>
      <c r="C148" s="134"/>
      <c r="D148" s="134"/>
      <c r="E148" s="134"/>
      <c r="F148" s="134"/>
      <c r="G148" s="134"/>
      <c r="H148" s="134"/>
      <c r="I148" s="134"/>
      <c r="J148" s="134"/>
      <c r="K148" s="134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"/>
      <c r="B149" s="18" t="s">
        <v>24</v>
      </c>
      <c r="C149" s="148" t="s">
        <v>195</v>
      </c>
      <c r="D149" s="148"/>
      <c r="E149" s="148"/>
      <c r="F149" s="148"/>
      <c r="G149" s="148"/>
      <c r="H149" s="148"/>
      <c r="I149" s="71"/>
      <c r="J149" s="13">
        <f>K92</f>
        <v>0</v>
      </c>
      <c r="K149" s="13"/>
      <c r="L149" s="3">
        <f>(J149+J150)/1900</f>
        <v>0</v>
      </c>
      <c r="M149" s="3">
        <f>L149*1900</f>
        <v>0</v>
      </c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2.75" customHeight="1">
      <c r="A150" s="3"/>
      <c r="B150" s="18" t="s">
        <v>37</v>
      </c>
      <c r="C150" s="149" t="s">
        <v>196</v>
      </c>
      <c r="D150" s="149"/>
      <c r="E150" s="149"/>
      <c r="F150" s="149"/>
      <c r="G150" s="149"/>
      <c r="H150" s="149"/>
      <c r="I150" s="72"/>
      <c r="J150" s="13">
        <f>K100+K115+K131+K145</f>
        <v>0</v>
      </c>
      <c r="K150" s="1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2.75" customHeight="1">
      <c r="A151" s="3"/>
      <c r="B151" s="18" t="s">
        <v>46</v>
      </c>
      <c r="C151" s="148" t="s">
        <v>197</v>
      </c>
      <c r="D151" s="148"/>
      <c r="E151" s="148"/>
      <c r="F151" s="148"/>
      <c r="G151" s="148"/>
      <c r="H151" s="148"/>
      <c r="I151" s="73"/>
      <c r="J151" s="74"/>
      <c r="K151" s="13" t="e">
        <f>K135+K141</f>
        <v>#DIV/0!</v>
      </c>
      <c r="L151" s="3" t="e">
        <f>K151/1900</f>
        <v>#DIV/0!</v>
      </c>
      <c r="M151" s="3" t="e">
        <f>L151*1000</f>
        <v>#DIV/0!</v>
      </c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2.75" customHeight="1">
      <c r="A152" s="3"/>
      <c r="B152" s="47"/>
      <c r="C152" s="150" t="s">
        <v>198</v>
      </c>
      <c r="D152" s="150"/>
      <c r="E152" s="150"/>
      <c r="F152" s="150"/>
      <c r="G152" s="150"/>
      <c r="H152" s="150"/>
      <c r="I152" s="76"/>
      <c r="J152" s="77">
        <f>SUM(J149:J151)</f>
        <v>0</v>
      </c>
      <c r="K152" s="78" t="e">
        <f>SUM(K149:K151)</f>
        <v>#DIV/0!</v>
      </c>
      <c r="L152" s="3">
        <v>717.38</v>
      </c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 ht="32.25" customHeight="1">
      <c r="A153" s="3"/>
      <c r="B153" s="147"/>
      <c r="C153" s="147"/>
      <c r="D153" s="147"/>
      <c r="E153" s="147"/>
      <c r="F153" s="147"/>
      <c r="G153" s="147"/>
      <c r="H153" s="147"/>
      <c r="I153" s="147"/>
      <c r="J153" s="147"/>
      <c r="K153" s="147"/>
      <c r="L153" s="79" t="e">
        <f>K151+L152</f>
        <v>#DIV/0!</v>
      </c>
      <c r="M153" s="80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7.25" customHeight="1">
      <c r="A154" s="3"/>
      <c r="B154" s="134" t="s">
        <v>199</v>
      </c>
      <c r="C154" s="134"/>
      <c r="D154" s="134"/>
      <c r="E154" s="134"/>
      <c r="F154" s="134"/>
      <c r="G154" s="134"/>
      <c r="H154" s="134"/>
      <c r="I154" s="134"/>
      <c r="J154" s="134"/>
      <c r="K154" s="134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 ht="12.75" customHeight="1">
      <c r="A155" s="3"/>
      <c r="B155" s="18"/>
      <c r="C155" s="143" t="s">
        <v>200</v>
      </c>
      <c r="D155" s="143"/>
      <c r="E155" s="143"/>
      <c r="F155" s="75" t="s">
        <v>35</v>
      </c>
      <c r="G155" s="142" t="s">
        <v>201</v>
      </c>
      <c r="H155" s="135" t="s">
        <v>202</v>
      </c>
      <c r="I155" s="135"/>
      <c r="J155" s="27" t="s">
        <v>203</v>
      </c>
      <c r="K155" s="27" t="s">
        <v>204</v>
      </c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 ht="12.75" customHeight="1">
      <c r="A156" s="3"/>
      <c r="B156" s="18" t="s">
        <v>24</v>
      </c>
      <c r="C156" s="138" t="s">
        <v>205</v>
      </c>
      <c r="D156" s="138"/>
      <c r="E156" s="138"/>
      <c r="F156" s="81">
        <v>0.05</v>
      </c>
      <c r="G156" s="142"/>
      <c r="H156" s="82">
        <f>J152</f>
        <v>0</v>
      </c>
      <c r="I156" s="83" t="e">
        <f>K152</f>
        <v>#DIV/0!</v>
      </c>
      <c r="J156" s="23">
        <f>F156*H156</f>
        <v>0</v>
      </c>
      <c r="K156" s="23" t="e">
        <f>F156*I156</f>
        <v>#DIV/0!</v>
      </c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12.75" customHeight="1">
      <c r="A157" s="3"/>
      <c r="B157" s="18" t="s">
        <v>37</v>
      </c>
      <c r="C157" s="138" t="s">
        <v>206</v>
      </c>
      <c r="D157" s="138"/>
      <c r="E157" s="138"/>
      <c r="F157" s="81">
        <v>0.1</v>
      </c>
      <c r="G157" s="142"/>
      <c r="H157" s="82">
        <f>H156+J156</f>
        <v>0</v>
      </c>
      <c r="I157" s="83" t="e">
        <f>I156+K156</f>
        <v>#DIV/0!</v>
      </c>
      <c r="J157" s="23">
        <f>F157*H157</f>
        <v>0</v>
      </c>
      <c r="K157" s="23" t="e">
        <f>F157*I157</f>
        <v>#DIV/0!</v>
      </c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ht="37.5" customHeight="1">
      <c r="A158" s="3"/>
      <c r="B158" s="144" t="s">
        <v>46</v>
      </c>
      <c r="C158" s="138" t="s">
        <v>207</v>
      </c>
      <c r="D158" s="47" t="s">
        <v>208</v>
      </c>
      <c r="E158" s="84">
        <v>0.112</v>
      </c>
      <c r="F158" s="145">
        <f>E158</f>
        <v>0.112</v>
      </c>
      <c r="G158" s="85" t="s">
        <v>209</v>
      </c>
      <c r="H158" s="86">
        <f>H157+J157-(E159/12)</f>
        <v>-780</v>
      </c>
      <c r="I158" s="86" t="e">
        <f>I157+K157</f>
        <v>#DIV/0!</v>
      </c>
      <c r="J158" s="141">
        <f>(H158/H159)*F158</f>
        <v>-98.378378378378372</v>
      </c>
      <c r="K158" s="141" t="e">
        <f>(I158/I159)*F158</f>
        <v>#DIV/0!</v>
      </c>
      <c r="L158" s="87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</row>
    <row r="159" spans="1:27" ht="12.75" customHeight="1">
      <c r="A159" s="3"/>
      <c r="B159" s="144"/>
      <c r="C159" s="138"/>
      <c r="D159" s="47" t="s">
        <v>210</v>
      </c>
      <c r="E159" s="84" t="str">
        <f>F199</f>
        <v>R$ 9.360,00</v>
      </c>
      <c r="F159" s="145"/>
      <c r="G159" s="88" t="s">
        <v>211</v>
      </c>
      <c r="H159" s="89">
        <f>1-(11.2/100)</f>
        <v>0.88800000000000001</v>
      </c>
      <c r="I159" s="89">
        <f>1-(11.2/100)</f>
        <v>0.88800000000000001</v>
      </c>
      <c r="J159" s="141"/>
      <c r="K159" s="141"/>
      <c r="L159" s="90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51" customHeight="1">
      <c r="A160" s="91"/>
      <c r="B160" s="136" t="s">
        <v>48</v>
      </c>
      <c r="C160" s="137" t="s">
        <v>212</v>
      </c>
      <c r="D160" s="138" t="s">
        <v>213</v>
      </c>
      <c r="E160" s="139">
        <v>2.5000000000000001E-2</v>
      </c>
      <c r="F160" s="140">
        <f>E160</f>
        <v>2.5000000000000001E-2</v>
      </c>
      <c r="G160" s="31" t="s">
        <v>214</v>
      </c>
      <c r="H160" s="86">
        <f>H158+J158</f>
        <v>-878.37837837837833</v>
      </c>
      <c r="I160" s="86" t="e">
        <f>I158+K158</f>
        <v>#DIV/0!</v>
      </c>
      <c r="J160" s="141">
        <f>H160/H161*F160</f>
        <v>-22.522522522522522</v>
      </c>
      <c r="K160" s="141" t="e">
        <f>I160/I161*F160</f>
        <v>#DIV/0!</v>
      </c>
      <c r="L160" s="92"/>
      <c r="M160" s="91"/>
      <c r="N160" s="91"/>
      <c r="O160" s="91"/>
      <c r="P160" s="91"/>
      <c r="Q160" s="91"/>
      <c r="R160" s="91"/>
      <c r="S160" s="91"/>
      <c r="T160" s="91"/>
      <c r="U160" s="91"/>
      <c r="V160" s="91"/>
      <c r="W160" s="91"/>
      <c r="X160" s="91"/>
      <c r="Y160" s="91"/>
      <c r="Z160" s="91"/>
      <c r="AA160" s="91"/>
    </row>
    <row r="161" spans="1:27" ht="12.75" customHeight="1">
      <c r="A161" s="91"/>
      <c r="B161" s="136"/>
      <c r="C161" s="137"/>
      <c r="D161" s="138"/>
      <c r="E161" s="138"/>
      <c r="F161" s="138"/>
      <c r="G161" s="88" t="s">
        <v>215</v>
      </c>
      <c r="H161" s="93">
        <f>1-(2.5/100)</f>
        <v>0.97499999999999998</v>
      </c>
      <c r="I161" s="93">
        <f>1-(2.5/100)</f>
        <v>0.97499999999999998</v>
      </c>
      <c r="J161" s="141"/>
      <c r="K161" s="141"/>
      <c r="L161" s="92"/>
      <c r="M161" s="91"/>
      <c r="N161" s="91"/>
      <c r="O161" s="91"/>
      <c r="P161" s="91"/>
      <c r="Q161" s="91"/>
      <c r="R161" s="91"/>
      <c r="S161" s="91"/>
      <c r="T161" s="91"/>
      <c r="U161" s="91"/>
      <c r="V161" s="91"/>
      <c r="W161" s="91"/>
      <c r="X161" s="91"/>
      <c r="Y161" s="91"/>
      <c r="Z161" s="91"/>
      <c r="AA161" s="91"/>
    </row>
    <row r="162" spans="1:27" ht="12.75" customHeight="1">
      <c r="A162" s="3"/>
      <c r="B162" s="142" t="s">
        <v>216</v>
      </c>
      <c r="C162" s="142"/>
      <c r="D162" s="142"/>
      <c r="E162" s="142"/>
      <c r="F162" s="94">
        <f>SUM(F156:F160)</f>
        <v>0.28700000000000003</v>
      </c>
      <c r="G162" s="95"/>
      <c r="H162" s="96"/>
      <c r="I162" s="97"/>
      <c r="J162" s="25">
        <f>SUM(J156:J161)</f>
        <v>-120.90090090090089</v>
      </c>
      <c r="K162" s="25" t="e">
        <f>SUM(K156:K161)</f>
        <v>#DIV/0!</v>
      </c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4" spans="1:27" ht="12.75" customHeight="1">
      <c r="A164" s="3"/>
      <c r="B164" s="133" t="s">
        <v>217</v>
      </c>
      <c r="C164" s="133"/>
      <c r="D164" s="133"/>
      <c r="E164" s="133"/>
      <c r="F164" s="133"/>
      <c r="G164" s="133"/>
      <c r="H164" s="133"/>
      <c r="I164" s="133"/>
      <c r="J164" s="133"/>
      <c r="K164" s="13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2.75" customHeight="1">
      <c r="A165" s="3"/>
      <c r="B165" s="133" t="s">
        <v>218</v>
      </c>
      <c r="C165" s="133"/>
      <c r="D165" s="133"/>
      <c r="E165" s="133"/>
      <c r="F165" s="133"/>
      <c r="G165" s="133"/>
      <c r="H165" s="133"/>
      <c r="I165" s="133"/>
      <c r="J165" s="133"/>
      <c r="K165" s="13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0.2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7.25" customHeight="1">
      <c r="A167" s="3"/>
      <c r="B167" s="134" t="s">
        <v>219</v>
      </c>
      <c r="C167" s="134"/>
      <c r="D167" s="134"/>
      <c r="E167" s="134"/>
      <c r="F167" s="134"/>
      <c r="G167" s="134"/>
      <c r="H167" s="134"/>
      <c r="I167" s="134"/>
      <c r="J167" s="134"/>
      <c r="K167" s="134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12.75" hidden="1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2.75" customHeight="1">
      <c r="A169" s="3"/>
      <c r="B169" s="11" t="s">
        <v>24</v>
      </c>
      <c r="C169" s="129" t="s">
        <v>220</v>
      </c>
      <c r="D169" s="129"/>
      <c r="E169" s="129"/>
      <c r="F169" s="129"/>
      <c r="G169" s="129"/>
      <c r="H169" s="129"/>
      <c r="I169" s="129"/>
      <c r="J169" s="129"/>
      <c r="K169" s="98">
        <f>K92</f>
        <v>0</v>
      </c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15.75" customHeight="1">
      <c r="A170" s="3"/>
      <c r="B170" s="11" t="s">
        <v>37</v>
      </c>
      <c r="C170" s="129" t="s">
        <v>221</v>
      </c>
      <c r="D170" s="129"/>
      <c r="E170" s="129"/>
      <c r="F170" s="129"/>
      <c r="G170" s="129"/>
      <c r="H170" s="129"/>
      <c r="I170" s="129"/>
      <c r="J170" s="129"/>
      <c r="K170" s="98" t="e">
        <f>K146</f>
        <v>#DIV/0!</v>
      </c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5.75" customHeight="1">
      <c r="A171" s="3"/>
      <c r="B171" s="11" t="s">
        <v>46</v>
      </c>
      <c r="C171" s="129" t="s">
        <v>222</v>
      </c>
      <c r="D171" s="129"/>
      <c r="E171" s="129"/>
      <c r="F171" s="129"/>
      <c r="G171" s="129"/>
      <c r="H171" s="129"/>
      <c r="I171" s="129"/>
      <c r="J171" s="129"/>
      <c r="K171" s="99" t="e">
        <f>J162+K162</f>
        <v>#DIV/0!</v>
      </c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15.75" customHeight="1">
      <c r="A172" s="3"/>
      <c r="B172" s="36"/>
      <c r="C172" s="135" t="s">
        <v>223</v>
      </c>
      <c r="D172" s="135"/>
      <c r="E172" s="135"/>
      <c r="F172" s="135"/>
      <c r="G172" s="135"/>
      <c r="H172" s="135"/>
      <c r="I172" s="135"/>
      <c r="J172" s="135"/>
      <c r="K172" s="100" t="e">
        <f>SUM(K169:K171)-0.01</f>
        <v>#DIV/0!</v>
      </c>
      <c r="L172" s="79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5.75" customHeight="1">
      <c r="A173" s="3"/>
      <c r="B173" s="36"/>
      <c r="C173" s="129" t="s">
        <v>224</v>
      </c>
      <c r="D173" s="129"/>
      <c r="E173" s="129"/>
      <c r="F173" s="129"/>
      <c r="G173" s="129"/>
      <c r="H173" s="129"/>
      <c r="I173" s="129"/>
      <c r="J173" s="129"/>
      <c r="K173" s="100" t="e">
        <f>K172/(E134*F134)</f>
        <v>#DIV/0!</v>
      </c>
      <c r="L173" s="101">
        <f>E134*F134</f>
        <v>2240</v>
      </c>
      <c r="M173" s="3" t="s">
        <v>225</v>
      </c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s="2" customFormat="1" ht="15.75" customHeight="1">
      <c r="A174" s="3"/>
      <c r="B174" s="36"/>
      <c r="C174" s="129" t="s">
        <v>226</v>
      </c>
      <c r="D174" s="129"/>
      <c r="E174" s="129"/>
      <c r="F174" s="129"/>
      <c r="G174" s="129"/>
      <c r="H174" s="129"/>
      <c r="I174" s="129"/>
      <c r="J174" s="129"/>
      <c r="K174" s="100" t="e">
        <f>(K152+K162)/(E134*F134)</f>
        <v>#DIV/0!</v>
      </c>
      <c r="L174" s="101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s="2" customFormat="1" ht="15.75" customHeight="1">
      <c r="A175" s="3"/>
      <c r="B175" s="36"/>
      <c r="C175" s="129" t="s">
        <v>227</v>
      </c>
      <c r="D175" s="129"/>
      <c r="E175" s="129"/>
      <c r="F175" s="129"/>
      <c r="G175" s="129"/>
      <c r="H175" s="129"/>
      <c r="I175" s="129"/>
      <c r="J175" s="129"/>
      <c r="K175" s="100">
        <f>J152+J162</f>
        <v>-120.90090090090089</v>
      </c>
      <c r="L175" s="101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15.75" customHeight="1">
      <c r="A176" s="3"/>
      <c r="B176" s="36"/>
      <c r="C176" s="129" t="s">
        <v>228</v>
      </c>
      <c r="D176" s="129"/>
      <c r="E176" s="129"/>
      <c r="F176" s="129"/>
      <c r="G176" s="129"/>
      <c r="H176" s="129"/>
      <c r="I176" s="129"/>
      <c r="J176" s="129"/>
      <c r="K176" s="100" t="e">
        <f>K152+K162</f>
        <v>#DIV/0!</v>
      </c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s="2" customFormat="1" ht="15.75" customHeight="1">
      <c r="A177" s="3"/>
      <c r="B177" s="36"/>
      <c r="C177" s="129" t="s">
        <v>229</v>
      </c>
      <c r="D177" s="129"/>
      <c r="E177" s="129"/>
      <c r="F177" s="129"/>
      <c r="G177" s="129"/>
      <c r="H177" s="129"/>
      <c r="I177" s="129"/>
      <c r="J177" s="129"/>
      <c r="K177" s="100">
        <f>3.12*2240</f>
        <v>6988.8</v>
      </c>
      <c r="L177" s="3" t="s">
        <v>230</v>
      </c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s="2" customFormat="1" ht="15.75" customHeight="1">
      <c r="A178" s="3"/>
      <c r="B178" s="102"/>
      <c r="C178" s="103"/>
      <c r="D178" s="104"/>
      <c r="E178" s="104"/>
      <c r="F178" s="104"/>
      <c r="G178" s="104"/>
      <c r="H178" s="104"/>
      <c r="I178" s="104"/>
      <c r="J178" s="104"/>
      <c r="K178" s="105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106" t="s">
        <v>231</v>
      </c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"/>
      <c r="B181" s="130" t="s">
        <v>232</v>
      </c>
      <c r="C181" s="130"/>
      <c r="D181" s="130"/>
      <c r="E181" s="3"/>
      <c r="F181" s="3"/>
      <c r="G181" s="3"/>
      <c r="H181" s="3"/>
      <c r="I181" s="3"/>
      <c r="J181" s="3"/>
      <c r="K181" s="106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3"/>
      <c r="B182" s="131" t="s">
        <v>233</v>
      </c>
      <c r="C182" s="131"/>
      <c r="D182" s="131"/>
      <c r="E182" s="3"/>
      <c r="F182" s="3"/>
      <c r="G182" s="3"/>
      <c r="H182" s="131"/>
      <c r="I182" s="131"/>
      <c r="J182" s="131"/>
      <c r="K182" s="131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5.75" customHeight="1">
      <c r="A184" s="3"/>
      <c r="B184" s="36"/>
      <c r="C184" s="11" t="s">
        <v>234</v>
      </c>
      <c r="D184" s="11" t="s">
        <v>235</v>
      </c>
      <c r="E184" s="11" t="s">
        <v>236</v>
      </c>
      <c r="F184" s="11" t="s">
        <v>237</v>
      </c>
      <c r="G184" s="11" t="s">
        <v>238</v>
      </c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107">
        <f t="shared" ref="A185:A195" si="9">C185/$L$173</f>
        <v>3.0660263835263839</v>
      </c>
      <c r="B185" s="57" t="s">
        <v>126</v>
      </c>
      <c r="C185" s="108">
        <f>D185+E185</f>
        <v>6867.8990990990997</v>
      </c>
      <c r="D185" s="109">
        <f>K175</f>
        <v>-120.90090090090089</v>
      </c>
      <c r="E185" s="110">
        <f>K177</f>
        <v>6988.8</v>
      </c>
      <c r="F185" s="111">
        <f t="shared" ref="F185:F195" si="10">(C185*10)+(D185*2)</f>
        <v>68437.189189189186</v>
      </c>
      <c r="G185" s="112">
        <v>0.112</v>
      </c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107" t="e">
        <f t="shared" si="9"/>
        <v>#REF!</v>
      </c>
      <c r="B186" s="57" t="s">
        <v>128</v>
      </c>
      <c r="C186" s="109" t="e">
        <f>#REF!</f>
        <v>#REF!</v>
      </c>
      <c r="D186" s="109" t="e">
        <f>#REF!</f>
        <v>#REF!</v>
      </c>
      <c r="E186" s="110" t="e">
        <f>#REF!</f>
        <v>#REF!</v>
      </c>
      <c r="F186" s="111" t="e">
        <f t="shared" si="10"/>
        <v>#REF!</v>
      </c>
      <c r="G186" s="112">
        <v>0.112</v>
      </c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.75" customHeight="1">
      <c r="A187" s="107" t="e">
        <f t="shared" si="9"/>
        <v>#REF!</v>
      </c>
      <c r="B187" s="57" t="s">
        <v>130</v>
      </c>
      <c r="C187" s="109" t="e">
        <f>#REF!</f>
        <v>#REF!</v>
      </c>
      <c r="D187" s="109" t="e">
        <f>#REF!</f>
        <v>#REF!</v>
      </c>
      <c r="E187" s="110" t="e">
        <f>#REF!</f>
        <v>#REF!</v>
      </c>
      <c r="F187" s="111" t="e">
        <f t="shared" si="10"/>
        <v>#REF!</v>
      </c>
      <c r="G187" s="112">
        <v>0.112</v>
      </c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107" t="e">
        <f t="shared" si="9"/>
        <v>#REF!</v>
      </c>
      <c r="B188" s="57" t="s">
        <v>132</v>
      </c>
      <c r="C188" s="109" t="e">
        <f>#REF!</f>
        <v>#REF!</v>
      </c>
      <c r="D188" s="109" t="e">
        <f>#REF!</f>
        <v>#REF!</v>
      </c>
      <c r="E188" s="109" t="e">
        <f>#REF!</f>
        <v>#REF!</v>
      </c>
      <c r="F188" s="111" t="e">
        <f t="shared" si="10"/>
        <v>#REF!</v>
      </c>
      <c r="G188" s="112">
        <v>0.112</v>
      </c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.75" customHeight="1">
      <c r="A189" s="107" t="e">
        <f t="shared" si="9"/>
        <v>#REF!</v>
      </c>
      <c r="B189" s="57" t="s">
        <v>134</v>
      </c>
      <c r="C189" s="109" t="e">
        <f>#REF!</f>
        <v>#REF!</v>
      </c>
      <c r="D189" s="109" t="e">
        <f>#REF!</f>
        <v>#REF!</v>
      </c>
      <c r="E189" s="109" t="e">
        <f>#REF!</f>
        <v>#REF!</v>
      </c>
      <c r="F189" s="111" t="e">
        <f t="shared" si="10"/>
        <v>#REF!</v>
      </c>
      <c r="G189" s="112">
        <v>0.112</v>
      </c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5.75" customHeight="1">
      <c r="A190" s="107" t="e">
        <f t="shared" si="9"/>
        <v>#REF!</v>
      </c>
      <c r="B190" s="57" t="s">
        <v>136</v>
      </c>
      <c r="C190" s="109" t="e">
        <f>#REF!</f>
        <v>#REF!</v>
      </c>
      <c r="D190" s="109" t="e">
        <f>#REF!</f>
        <v>#REF!</v>
      </c>
      <c r="E190" s="109" t="e">
        <f>#REF!</f>
        <v>#REF!</v>
      </c>
      <c r="F190" s="111" t="e">
        <f t="shared" si="10"/>
        <v>#REF!</v>
      </c>
      <c r="G190" s="112">
        <v>0.112</v>
      </c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107" t="e">
        <f t="shared" si="9"/>
        <v>#REF!</v>
      </c>
      <c r="B191" s="57" t="s">
        <v>138</v>
      </c>
      <c r="C191" s="109" t="e">
        <f>#REF!</f>
        <v>#REF!</v>
      </c>
      <c r="D191" s="109" t="e">
        <f>#REF!</f>
        <v>#REF!</v>
      </c>
      <c r="E191" s="109" t="e">
        <f>#REF!</f>
        <v>#REF!</v>
      </c>
      <c r="F191" s="111" t="e">
        <f t="shared" si="10"/>
        <v>#REF!</v>
      </c>
      <c r="G191" s="112">
        <v>0.06</v>
      </c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107" t="e">
        <f t="shared" si="9"/>
        <v>#REF!</v>
      </c>
      <c r="B192" s="57" t="s">
        <v>140</v>
      </c>
      <c r="C192" s="109" t="e">
        <f>#REF!</f>
        <v>#REF!</v>
      </c>
      <c r="D192" s="109" t="e">
        <f>#REF!</f>
        <v>#REF!</v>
      </c>
      <c r="E192" s="109" t="e">
        <f>#REF!</f>
        <v>#REF!</v>
      </c>
      <c r="F192" s="111" t="e">
        <f t="shared" si="10"/>
        <v>#REF!</v>
      </c>
      <c r="G192" s="112">
        <v>0.06</v>
      </c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107" t="e">
        <f t="shared" si="9"/>
        <v>#REF!</v>
      </c>
      <c r="B193" s="57" t="s">
        <v>142</v>
      </c>
      <c r="C193" s="109" t="e">
        <f>#REF!</f>
        <v>#REF!</v>
      </c>
      <c r="D193" s="109" t="e">
        <f>#REF!</f>
        <v>#REF!</v>
      </c>
      <c r="E193" s="109" t="e">
        <f>#REF!</f>
        <v>#REF!</v>
      </c>
      <c r="F193" s="111" t="e">
        <f t="shared" si="10"/>
        <v>#REF!</v>
      </c>
      <c r="G193" s="112">
        <v>0.06</v>
      </c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5.75" customHeight="1">
      <c r="A194" s="107" t="e">
        <f t="shared" si="9"/>
        <v>#REF!</v>
      </c>
      <c r="B194" s="57" t="s">
        <v>144</v>
      </c>
      <c r="C194" s="109" t="e">
        <f>#REF!</f>
        <v>#REF!</v>
      </c>
      <c r="D194" s="109" t="e">
        <f>#REF!</f>
        <v>#REF!</v>
      </c>
      <c r="E194" s="109" t="e">
        <f>#REF!</f>
        <v>#REF!</v>
      </c>
      <c r="F194" s="111" t="e">
        <f t="shared" si="10"/>
        <v>#REF!</v>
      </c>
      <c r="G194" s="112">
        <v>0.06</v>
      </c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5.75" customHeight="1">
      <c r="A195" s="107" t="e">
        <f t="shared" si="9"/>
        <v>#DIV/0!</v>
      </c>
      <c r="B195" s="57" t="s">
        <v>146</v>
      </c>
      <c r="C195" s="109" t="e">
        <f>'10+'!K172</f>
        <v>#DIV/0!</v>
      </c>
      <c r="D195" s="109" t="e">
        <f>'10+'!K175</f>
        <v>#REF!</v>
      </c>
      <c r="E195" s="109" t="e">
        <f>'10+'!K176</f>
        <v>#DIV/0!</v>
      </c>
      <c r="F195" s="111" t="e">
        <f t="shared" si="10"/>
        <v>#DIV/0!</v>
      </c>
      <c r="G195" s="112">
        <v>0.06</v>
      </c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15.75" customHeight="1">
      <c r="A197" s="3"/>
      <c r="B197" s="113" t="s">
        <v>239</v>
      </c>
      <c r="C197" s="113" t="s">
        <v>240</v>
      </c>
      <c r="D197" s="113" t="s">
        <v>241</v>
      </c>
      <c r="E197" s="113" t="s">
        <v>242</v>
      </c>
      <c r="F197" s="113" t="s">
        <v>243</v>
      </c>
      <c r="G197" s="36" t="s">
        <v>244</v>
      </c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"/>
      <c r="B198" s="114" t="s">
        <v>245</v>
      </c>
      <c r="C198" s="114" t="s">
        <v>246</v>
      </c>
      <c r="D198" s="114" t="s">
        <v>247</v>
      </c>
      <c r="E198" s="114" t="s">
        <v>248</v>
      </c>
      <c r="F198" s="114" t="s">
        <v>249</v>
      </c>
      <c r="G198" s="36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5.75" customHeight="1">
      <c r="A199" s="3"/>
      <c r="B199" s="114" t="s">
        <v>250</v>
      </c>
      <c r="C199" s="114" t="s">
        <v>251</v>
      </c>
      <c r="D199" s="114" t="s">
        <v>252</v>
      </c>
      <c r="E199" s="114" t="s">
        <v>253</v>
      </c>
      <c r="F199" s="114" t="s">
        <v>254</v>
      </c>
      <c r="G199" s="115">
        <f>F199/12</f>
        <v>780</v>
      </c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3"/>
      <c r="B200" s="114" t="s">
        <v>255</v>
      </c>
      <c r="C200" s="114" t="s">
        <v>256</v>
      </c>
      <c r="D200" s="114" t="s">
        <v>257</v>
      </c>
      <c r="E200" s="114" t="s">
        <v>253</v>
      </c>
      <c r="F200" s="114" t="s">
        <v>258</v>
      </c>
      <c r="G200" s="115">
        <f>F200/12</f>
        <v>1470</v>
      </c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15.75" customHeight="1">
      <c r="A201" s="3"/>
      <c r="B201" s="114" t="s">
        <v>259</v>
      </c>
      <c r="C201" s="114" t="s">
        <v>260</v>
      </c>
      <c r="D201" s="114" t="s">
        <v>261</v>
      </c>
      <c r="E201" s="114" t="s">
        <v>253</v>
      </c>
      <c r="F201" s="114" t="s">
        <v>262</v>
      </c>
      <c r="G201" s="115">
        <f>F201/12</f>
        <v>2970</v>
      </c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5.75" customHeight="1">
      <c r="A202" s="3"/>
      <c r="B202" s="114" t="s">
        <v>263</v>
      </c>
      <c r="C202" s="114" t="s">
        <v>264</v>
      </c>
      <c r="D202" s="114" t="s">
        <v>265</v>
      </c>
      <c r="E202" s="114" t="s">
        <v>253</v>
      </c>
      <c r="F202" s="114" t="s">
        <v>266</v>
      </c>
      <c r="G202" s="115">
        <f>F202/12</f>
        <v>10470</v>
      </c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5.75" customHeight="1">
      <c r="A203" s="3"/>
      <c r="B203" s="114" t="s">
        <v>267</v>
      </c>
      <c r="C203" s="114" t="s">
        <v>268</v>
      </c>
      <c r="D203" s="114" t="s">
        <v>269</v>
      </c>
      <c r="E203" s="114" t="s">
        <v>253</v>
      </c>
      <c r="F203" s="114" t="s">
        <v>270</v>
      </c>
      <c r="G203" s="115">
        <f>F203/12</f>
        <v>54000</v>
      </c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.75" customHeight="1">
      <c r="A204" s="3"/>
      <c r="B204" s="132" t="s">
        <v>271</v>
      </c>
      <c r="C204" s="132"/>
      <c r="D204" s="132"/>
      <c r="E204" s="132"/>
      <c r="F204" s="132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.75" customHeight="1">
      <c r="A206" s="3"/>
      <c r="B206" s="3" t="s">
        <v>272</v>
      </c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</row>
    <row r="355" spans="1:27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</row>
    <row r="356" spans="1:27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</row>
    <row r="357" spans="1:27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</row>
    <row r="358" spans="1:27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</row>
    <row r="359" spans="1:27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</row>
    <row r="360" spans="1:27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</row>
    <row r="361" spans="1:27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</row>
    <row r="362" spans="1:27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</row>
    <row r="363" spans="1:27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</row>
    <row r="364" spans="1:27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</row>
    <row r="365" spans="1:27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</row>
    <row r="366" spans="1:27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</row>
    <row r="367" spans="1:27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</row>
    <row r="368" spans="1:27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</row>
    <row r="369" spans="1:27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</row>
    <row r="370" spans="1:27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</row>
    <row r="371" spans="1:27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</row>
    <row r="372" spans="1:27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</row>
    <row r="373" spans="1:27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</row>
    <row r="374" spans="1:27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</row>
    <row r="375" spans="1:27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</row>
    <row r="376" spans="1:27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</row>
    <row r="377" spans="1:2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</row>
    <row r="378" spans="1:27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</row>
    <row r="379" spans="1:27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</row>
    <row r="380" spans="1:27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</row>
    <row r="381" spans="1:27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</row>
    <row r="382" spans="1:27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</row>
    <row r="383" spans="1:27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</row>
    <row r="384" spans="1:27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</row>
    <row r="385" spans="1:27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</row>
    <row r="386" spans="1:27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</row>
    <row r="387" spans="1:2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</row>
    <row r="388" spans="1:27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</row>
    <row r="389" spans="1:27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</row>
    <row r="390" spans="1:27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</row>
    <row r="391" spans="1:27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</row>
    <row r="392" spans="1:27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</row>
    <row r="393" spans="1:27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</row>
    <row r="394" spans="1:27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</row>
    <row r="395" spans="1:27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</row>
    <row r="396" spans="1:27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</row>
    <row r="397" spans="1:2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</row>
    <row r="398" spans="1:27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</row>
    <row r="399" spans="1:27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</row>
    <row r="400" spans="1:27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</row>
    <row r="401" spans="1:27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</row>
    <row r="402" spans="1:27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</row>
    <row r="403" spans="1:27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</row>
    <row r="404" spans="1:27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</row>
    <row r="405" spans="1:27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</row>
    <row r="406" spans="1:27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</row>
    <row r="407" spans="1:2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</row>
    <row r="408" spans="1:27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</row>
    <row r="409" spans="1:27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</row>
    <row r="410" spans="1:27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</row>
    <row r="411" spans="1:27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</row>
    <row r="412" spans="1:27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</row>
    <row r="413" spans="1:27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</row>
    <row r="414" spans="1:27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</row>
    <row r="415" spans="1:27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</row>
    <row r="416" spans="1:27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</row>
    <row r="417" spans="1:2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</row>
    <row r="418" spans="1:27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</row>
    <row r="419" spans="1:27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</row>
    <row r="420" spans="1:27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</row>
    <row r="421" spans="1:27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</row>
    <row r="422" spans="1:27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</row>
    <row r="423" spans="1:27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</row>
    <row r="424" spans="1:27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</row>
    <row r="425" spans="1:27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</row>
    <row r="426" spans="1:27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</row>
    <row r="427" spans="1: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</row>
    <row r="428" spans="1:27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</row>
    <row r="429" spans="1:27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</row>
    <row r="430" spans="1:27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</row>
    <row r="431" spans="1:27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</row>
    <row r="432" spans="1:27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</row>
    <row r="433" spans="1:27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</row>
    <row r="434" spans="1:27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</row>
    <row r="435" spans="1:27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</row>
    <row r="436" spans="1:27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</row>
    <row r="437" spans="1:2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</row>
    <row r="438" spans="1:27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</row>
    <row r="439" spans="1:27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</row>
    <row r="440" spans="1:27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</row>
    <row r="441" spans="1:27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</row>
    <row r="442" spans="1:27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</row>
    <row r="443" spans="1:27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</row>
    <row r="444" spans="1:27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</row>
    <row r="445" spans="1:27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</row>
    <row r="446" spans="1:27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</row>
    <row r="447" spans="1:2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</row>
    <row r="448" spans="1:27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</row>
    <row r="449" spans="1:27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</row>
    <row r="450" spans="1:27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</row>
    <row r="451" spans="1:27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</row>
    <row r="452" spans="1:27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</row>
    <row r="453" spans="1:27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</row>
    <row r="454" spans="1:27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</row>
    <row r="455" spans="1:27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</row>
    <row r="456" spans="1:27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</row>
    <row r="457" spans="1:2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</row>
    <row r="458" spans="1:27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</row>
    <row r="459" spans="1:27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</row>
    <row r="460" spans="1:27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</row>
    <row r="461" spans="1:27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</row>
    <row r="462" spans="1:27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</row>
    <row r="463" spans="1:27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</row>
    <row r="464" spans="1:27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</row>
    <row r="465" spans="1:27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</row>
    <row r="466" spans="1:27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</row>
    <row r="467" spans="1:2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</row>
    <row r="468" spans="1:27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</row>
    <row r="469" spans="1:27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</row>
    <row r="470" spans="1:27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</row>
    <row r="471" spans="1:27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</row>
    <row r="472" spans="1:27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</row>
    <row r="473" spans="1:27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</row>
    <row r="474" spans="1:27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</row>
    <row r="475" spans="1:27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</row>
    <row r="476" spans="1:27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</row>
    <row r="477" spans="1:2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</row>
    <row r="478" spans="1:27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</row>
    <row r="479" spans="1:27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</row>
    <row r="480" spans="1:27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</row>
    <row r="481" spans="1:27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</row>
    <row r="482" spans="1:27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</row>
    <row r="483" spans="1:27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</row>
    <row r="484" spans="1:27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</row>
    <row r="485" spans="1:27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</row>
    <row r="486" spans="1:27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</row>
    <row r="487" spans="1:2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</row>
    <row r="488" spans="1:27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</row>
    <row r="489" spans="1:27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</row>
    <row r="490" spans="1:27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</row>
    <row r="491" spans="1:27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</row>
    <row r="492" spans="1:27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</row>
    <row r="493" spans="1:27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</row>
    <row r="494" spans="1:27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</row>
    <row r="495" spans="1:27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</row>
    <row r="496" spans="1:27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</row>
    <row r="497" spans="1:2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</row>
    <row r="498" spans="1:27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</row>
    <row r="499" spans="1:27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</row>
    <row r="500" spans="1:27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</row>
    <row r="501" spans="1:27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</row>
    <row r="502" spans="1:27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</row>
    <row r="503" spans="1:27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</row>
    <row r="504" spans="1:27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</row>
    <row r="505" spans="1:27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</row>
    <row r="506" spans="1:27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</row>
    <row r="507" spans="1:2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</row>
    <row r="508" spans="1:27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</row>
    <row r="509" spans="1:27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</row>
    <row r="510" spans="1:27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</row>
    <row r="511" spans="1:27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</row>
    <row r="512" spans="1:27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</row>
    <row r="513" spans="1:27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</row>
    <row r="514" spans="1:27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</row>
    <row r="515" spans="1:27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</row>
    <row r="516" spans="1:27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</row>
    <row r="517" spans="1:2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</row>
    <row r="518" spans="1:27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</row>
    <row r="519" spans="1:27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</row>
    <row r="520" spans="1:27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</row>
    <row r="521" spans="1:27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</row>
    <row r="522" spans="1:27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</row>
    <row r="523" spans="1:27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</row>
    <row r="524" spans="1:27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</row>
    <row r="525" spans="1:27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</row>
    <row r="526" spans="1:27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</row>
    <row r="527" spans="1: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</row>
    <row r="528" spans="1:27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</row>
    <row r="529" spans="1:27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</row>
    <row r="530" spans="1:27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</row>
    <row r="531" spans="1:27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</row>
    <row r="532" spans="1:27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</row>
    <row r="533" spans="1:27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</row>
    <row r="534" spans="1:27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</row>
    <row r="535" spans="1:27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</row>
    <row r="536" spans="1:27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</row>
    <row r="537" spans="1:2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</row>
    <row r="538" spans="1:27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</row>
    <row r="539" spans="1:27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</row>
    <row r="540" spans="1:27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</row>
    <row r="541" spans="1:27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</row>
    <row r="542" spans="1:27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</row>
    <row r="543" spans="1:27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</row>
    <row r="544" spans="1:27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</row>
    <row r="545" spans="1:27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</row>
    <row r="546" spans="1:27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</row>
    <row r="547" spans="1:2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</row>
    <row r="548" spans="1:27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</row>
    <row r="549" spans="1:27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</row>
    <row r="550" spans="1:27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</row>
    <row r="551" spans="1:27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</row>
    <row r="552" spans="1:27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</row>
    <row r="553" spans="1:27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</row>
    <row r="554" spans="1:27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</row>
    <row r="555" spans="1:27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</row>
    <row r="556" spans="1:27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</row>
    <row r="557" spans="1:2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</row>
    <row r="558" spans="1:27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</row>
    <row r="559" spans="1:27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</row>
    <row r="560" spans="1:27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</row>
    <row r="561" spans="1:27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</row>
    <row r="562" spans="1:27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</row>
    <row r="563" spans="1:27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</row>
    <row r="564" spans="1:27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</row>
    <row r="565" spans="1:27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</row>
    <row r="566" spans="1:27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</row>
    <row r="567" spans="1:2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</row>
    <row r="568" spans="1:27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</row>
    <row r="569" spans="1:27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</row>
    <row r="570" spans="1:27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</row>
    <row r="571" spans="1:27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</row>
    <row r="572" spans="1:27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</row>
    <row r="573" spans="1:27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</row>
    <row r="574" spans="1:27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</row>
    <row r="575" spans="1:27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</row>
    <row r="576" spans="1:27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</row>
    <row r="577" spans="1:2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</row>
    <row r="578" spans="1:27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</row>
    <row r="579" spans="1:27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</row>
    <row r="580" spans="1:27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</row>
    <row r="581" spans="1:27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</row>
    <row r="582" spans="1:27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</row>
    <row r="583" spans="1:27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</row>
    <row r="584" spans="1:27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</row>
    <row r="585" spans="1:27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</row>
    <row r="586" spans="1:27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</row>
    <row r="587" spans="1:2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</row>
    <row r="588" spans="1:27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</row>
    <row r="589" spans="1:27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</row>
    <row r="590" spans="1:27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</row>
    <row r="591" spans="1:27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</row>
    <row r="592" spans="1:27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</row>
    <row r="593" spans="1:27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</row>
    <row r="594" spans="1:27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</row>
    <row r="595" spans="1:27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</row>
    <row r="596" spans="1:27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</row>
    <row r="597" spans="1:2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</row>
    <row r="598" spans="1:27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</row>
    <row r="599" spans="1:27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</row>
    <row r="600" spans="1:27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</row>
    <row r="601" spans="1:27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</row>
    <row r="602" spans="1:27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</row>
    <row r="603" spans="1:27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</row>
    <row r="604" spans="1:27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</row>
    <row r="605" spans="1:27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</row>
    <row r="606" spans="1:27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</row>
    <row r="607" spans="1:2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</row>
    <row r="608" spans="1:27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</row>
    <row r="609" spans="1:27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</row>
    <row r="610" spans="1:27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</row>
    <row r="611" spans="1:27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</row>
    <row r="612" spans="1:27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</row>
    <row r="613" spans="1:27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</row>
    <row r="614" spans="1:27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</row>
    <row r="615" spans="1:27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</row>
    <row r="616" spans="1:27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</row>
    <row r="617" spans="1:2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</row>
    <row r="618" spans="1:27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</row>
    <row r="619" spans="1:27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</row>
    <row r="620" spans="1:27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</row>
    <row r="621" spans="1:27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</row>
    <row r="622" spans="1:27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</row>
    <row r="623" spans="1:27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</row>
    <row r="624" spans="1:27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</row>
    <row r="625" spans="1:27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</row>
    <row r="626" spans="1:27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</row>
    <row r="627" spans="1: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</row>
    <row r="628" spans="1:27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</row>
    <row r="629" spans="1:27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</row>
    <row r="630" spans="1:27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</row>
    <row r="631" spans="1:27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</row>
    <row r="632" spans="1:27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</row>
    <row r="633" spans="1:27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</row>
    <row r="634" spans="1:27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</row>
    <row r="635" spans="1:27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</row>
    <row r="636" spans="1:27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</row>
    <row r="637" spans="1:2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</row>
    <row r="638" spans="1:27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</row>
    <row r="639" spans="1:27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</row>
    <row r="640" spans="1:27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</row>
    <row r="641" spans="1:27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</row>
    <row r="642" spans="1:27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</row>
    <row r="643" spans="1:27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</row>
    <row r="644" spans="1:27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</row>
    <row r="645" spans="1:27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</row>
    <row r="646" spans="1:27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</row>
    <row r="647" spans="1:2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</row>
    <row r="648" spans="1:27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</row>
    <row r="649" spans="1:27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</row>
    <row r="650" spans="1:27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</row>
    <row r="651" spans="1:27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</row>
    <row r="652" spans="1:27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</row>
    <row r="653" spans="1:27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</row>
    <row r="654" spans="1:27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</row>
    <row r="655" spans="1:27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</row>
    <row r="656" spans="1:27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</row>
    <row r="657" spans="1:2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</row>
    <row r="658" spans="1:27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</row>
    <row r="659" spans="1:27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</row>
    <row r="660" spans="1:27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</row>
    <row r="661" spans="1:27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</row>
    <row r="662" spans="1:27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</row>
    <row r="663" spans="1:27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</row>
    <row r="664" spans="1:27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</row>
    <row r="665" spans="1:27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</row>
    <row r="666" spans="1:27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</row>
    <row r="667" spans="1:2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</row>
    <row r="668" spans="1:27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</row>
    <row r="669" spans="1:27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</row>
    <row r="670" spans="1:27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</row>
    <row r="671" spans="1:27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</row>
    <row r="672" spans="1:27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</row>
    <row r="673" spans="1:27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</row>
    <row r="674" spans="1:27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</row>
    <row r="675" spans="1:27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</row>
    <row r="676" spans="1:27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</row>
    <row r="677" spans="1:2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</row>
    <row r="678" spans="1:27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</row>
    <row r="679" spans="1:27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</row>
    <row r="680" spans="1:27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</row>
    <row r="681" spans="1:27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</row>
    <row r="682" spans="1:27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</row>
    <row r="683" spans="1:27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</row>
    <row r="684" spans="1:27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</row>
    <row r="685" spans="1:27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</row>
    <row r="686" spans="1:27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</row>
    <row r="687" spans="1:2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</row>
    <row r="688" spans="1:27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</row>
    <row r="689" spans="1:27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</row>
    <row r="690" spans="1:27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</row>
    <row r="691" spans="1:27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</row>
    <row r="692" spans="1:27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</row>
    <row r="693" spans="1:27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</row>
    <row r="694" spans="1:27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</row>
    <row r="695" spans="1:27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</row>
    <row r="696" spans="1:27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</row>
    <row r="697" spans="1:2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</row>
    <row r="698" spans="1:27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</row>
    <row r="699" spans="1:27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</row>
    <row r="700" spans="1:27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</row>
    <row r="701" spans="1:27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</row>
    <row r="702" spans="1:27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</row>
    <row r="703" spans="1:27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</row>
    <row r="704" spans="1:27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</row>
    <row r="705" spans="1:27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</row>
    <row r="706" spans="1:27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</row>
    <row r="707" spans="1:2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</row>
    <row r="708" spans="1:27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</row>
    <row r="709" spans="1:27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</row>
    <row r="710" spans="1:27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</row>
    <row r="711" spans="1:27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</row>
    <row r="712" spans="1:27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</row>
    <row r="713" spans="1:27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</row>
    <row r="714" spans="1:27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</row>
    <row r="715" spans="1:27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</row>
    <row r="716" spans="1:27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</row>
    <row r="717" spans="1:2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</row>
    <row r="718" spans="1:27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</row>
    <row r="719" spans="1:27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</row>
    <row r="720" spans="1:27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</row>
    <row r="721" spans="1:27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</row>
    <row r="722" spans="1:27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</row>
    <row r="723" spans="1:27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</row>
    <row r="724" spans="1:27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</row>
    <row r="725" spans="1:27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</row>
    <row r="726" spans="1:27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</row>
    <row r="727" spans="1: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</row>
    <row r="728" spans="1:27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</row>
    <row r="729" spans="1:27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</row>
    <row r="730" spans="1:27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</row>
    <row r="731" spans="1:27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</row>
    <row r="732" spans="1:27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</row>
    <row r="733" spans="1:27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</row>
    <row r="734" spans="1:27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</row>
    <row r="735" spans="1:27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</row>
    <row r="736" spans="1:27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</row>
    <row r="737" spans="1:2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</row>
    <row r="738" spans="1:27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</row>
    <row r="739" spans="1:27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</row>
    <row r="740" spans="1:27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</row>
    <row r="741" spans="1:27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</row>
    <row r="742" spans="1:27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</row>
    <row r="743" spans="1:27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</row>
    <row r="744" spans="1:27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</row>
    <row r="745" spans="1:27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</row>
    <row r="746" spans="1:27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</row>
    <row r="747" spans="1:2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</row>
    <row r="748" spans="1:27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</row>
    <row r="749" spans="1:27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</row>
    <row r="750" spans="1:27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</row>
    <row r="751" spans="1:27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</row>
    <row r="752" spans="1:27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</row>
    <row r="753" spans="1:27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</row>
    <row r="754" spans="1:27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</row>
    <row r="755" spans="1:27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</row>
    <row r="756" spans="1:27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</row>
    <row r="757" spans="1:2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</row>
    <row r="758" spans="1:27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</row>
    <row r="759" spans="1:27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</row>
    <row r="760" spans="1:27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</row>
    <row r="761" spans="1:27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</row>
    <row r="762" spans="1:27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</row>
    <row r="763" spans="1:27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</row>
    <row r="764" spans="1:27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</row>
    <row r="765" spans="1:27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</row>
    <row r="766" spans="1:27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</row>
    <row r="767" spans="1:2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</row>
    <row r="768" spans="1:27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</row>
    <row r="769" spans="1:27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</row>
    <row r="770" spans="1:27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</row>
    <row r="771" spans="1:27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</row>
    <row r="772" spans="1:27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</row>
    <row r="773" spans="1:27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</row>
    <row r="774" spans="1:27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</row>
    <row r="775" spans="1:27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</row>
    <row r="776" spans="1:27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</row>
    <row r="777" spans="1:2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</row>
    <row r="778" spans="1:27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</row>
    <row r="779" spans="1:27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</row>
    <row r="780" spans="1:27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</row>
    <row r="781" spans="1:27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</row>
    <row r="782" spans="1:27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</row>
    <row r="783" spans="1:27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</row>
    <row r="784" spans="1:27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</row>
    <row r="785" spans="1:27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</row>
    <row r="786" spans="1:27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</row>
    <row r="787" spans="1:2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</row>
    <row r="788" spans="1:27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</row>
    <row r="789" spans="1:27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</row>
    <row r="790" spans="1:27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</row>
    <row r="791" spans="1:27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</row>
    <row r="792" spans="1:27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</row>
    <row r="793" spans="1:27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</row>
    <row r="794" spans="1:27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</row>
    <row r="795" spans="1:27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</row>
    <row r="796" spans="1:27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</row>
    <row r="797" spans="1:2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</row>
    <row r="798" spans="1:27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</row>
    <row r="799" spans="1:27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</row>
    <row r="800" spans="1:27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</row>
    <row r="801" spans="1:27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</row>
    <row r="802" spans="1:27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</row>
    <row r="803" spans="1:27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</row>
    <row r="804" spans="1:27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</row>
    <row r="805" spans="1:27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</row>
    <row r="806" spans="1:27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</row>
    <row r="807" spans="1:2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</row>
    <row r="808" spans="1:27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</row>
    <row r="809" spans="1:27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</row>
    <row r="810" spans="1:27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</row>
    <row r="811" spans="1:27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</row>
    <row r="812" spans="1:27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</row>
    <row r="813" spans="1:27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</row>
    <row r="814" spans="1:27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</row>
    <row r="815" spans="1:27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</row>
    <row r="816" spans="1:27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</row>
    <row r="817" spans="1:2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</row>
    <row r="818" spans="1:27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</row>
    <row r="819" spans="1:27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</row>
    <row r="820" spans="1:27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</row>
    <row r="821" spans="1:27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</row>
    <row r="822" spans="1:27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</row>
    <row r="823" spans="1:27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</row>
    <row r="824" spans="1:27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</row>
    <row r="825" spans="1:27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</row>
    <row r="826" spans="1:27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</row>
    <row r="827" spans="1: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</row>
    <row r="828" spans="1:27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</row>
    <row r="829" spans="1:27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</row>
    <row r="830" spans="1:27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</row>
    <row r="831" spans="1:27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</row>
    <row r="832" spans="1:27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</row>
    <row r="833" spans="1:27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</row>
    <row r="834" spans="1:27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</row>
    <row r="835" spans="1:27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</row>
    <row r="836" spans="1:27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</row>
    <row r="837" spans="1:2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</row>
    <row r="838" spans="1:27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</row>
    <row r="839" spans="1:27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</row>
    <row r="840" spans="1:27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</row>
    <row r="841" spans="1:27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</row>
    <row r="842" spans="1:27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</row>
    <row r="843" spans="1:27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</row>
    <row r="844" spans="1:27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</row>
    <row r="845" spans="1:27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</row>
    <row r="846" spans="1:27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</row>
    <row r="847" spans="1:2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</row>
    <row r="848" spans="1:27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</row>
    <row r="849" spans="1:27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</row>
    <row r="850" spans="1:27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</row>
    <row r="851" spans="1:27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</row>
    <row r="852" spans="1:27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</row>
    <row r="853" spans="1:27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</row>
    <row r="854" spans="1:27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</row>
    <row r="855" spans="1:27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</row>
    <row r="856" spans="1:27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</row>
    <row r="857" spans="1:2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</row>
    <row r="858" spans="1:27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</row>
    <row r="859" spans="1:27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</row>
    <row r="860" spans="1:27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</row>
    <row r="861" spans="1:27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</row>
    <row r="862" spans="1:27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</row>
    <row r="863" spans="1:27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</row>
    <row r="864" spans="1:27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</row>
    <row r="865" spans="1:27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</row>
    <row r="866" spans="1:27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</row>
    <row r="867" spans="1:2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</row>
    <row r="868" spans="1:27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</row>
    <row r="869" spans="1:27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</row>
    <row r="870" spans="1:27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</row>
    <row r="871" spans="1:27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</row>
    <row r="872" spans="1:27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</row>
    <row r="873" spans="1:27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</row>
    <row r="874" spans="1:27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</row>
    <row r="875" spans="1:27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</row>
    <row r="876" spans="1:27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</row>
    <row r="877" spans="1:2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</row>
    <row r="878" spans="1:27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</row>
    <row r="879" spans="1:27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</row>
    <row r="880" spans="1:27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</row>
    <row r="881" spans="1:27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</row>
    <row r="882" spans="1:27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</row>
    <row r="883" spans="1:27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</row>
    <row r="884" spans="1:27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</row>
    <row r="885" spans="1:27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</row>
    <row r="886" spans="1:27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</row>
    <row r="887" spans="1:2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</row>
    <row r="888" spans="1:27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</row>
    <row r="889" spans="1:27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</row>
    <row r="890" spans="1:27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</row>
    <row r="891" spans="1:27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</row>
    <row r="892" spans="1:27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</row>
    <row r="893" spans="1:27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</row>
    <row r="894" spans="1:27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</row>
    <row r="895" spans="1:27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</row>
    <row r="896" spans="1:27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</row>
    <row r="897" spans="1:2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</row>
    <row r="898" spans="1:27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</row>
    <row r="899" spans="1:27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</row>
    <row r="900" spans="1:27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</row>
    <row r="901" spans="1:27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</row>
    <row r="902" spans="1:27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</row>
    <row r="903" spans="1:27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</row>
    <row r="904" spans="1:27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</row>
    <row r="905" spans="1:27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</row>
    <row r="906" spans="1:27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</row>
    <row r="907" spans="1:2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</row>
    <row r="908" spans="1:27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</row>
    <row r="909" spans="1:27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</row>
    <row r="910" spans="1:27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</row>
    <row r="911" spans="1:27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</row>
    <row r="912" spans="1:27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</row>
    <row r="913" spans="1:27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</row>
    <row r="914" spans="1:27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</row>
    <row r="915" spans="1:27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</row>
    <row r="916" spans="1:27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</row>
    <row r="917" spans="1:2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</row>
    <row r="918" spans="1:27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</row>
    <row r="919" spans="1:27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</row>
    <row r="920" spans="1:27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</row>
    <row r="921" spans="1:27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</row>
    <row r="922" spans="1:27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</row>
    <row r="923" spans="1:27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</row>
    <row r="924" spans="1:27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</row>
    <row r="925" spans="1:27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</row>
    <row r="926" spans="1:27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</row>
    <row r="927" spans="1: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</row>
    <row r="928" spans="1:27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</row>
    <row r="929" spans="1:27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</row>
    <row r="930" spans="1:27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</row>
    <row r="931" spans="1:27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</row>
    <row r="932" spans="1:27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</row>
    <row r="933" spans="1:27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</row>
    <row r="934" spans="1:27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</row>
    <row r="935" spans="1:27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</row>
    <row r="936" spans="1:27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</row>
    <row r="937" spans="1:2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</row>
    <row r="938" spans="1:27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</row>
    <row r="939" spans="1:27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</row>
    <row r="940" spans="1:27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</row>
    <row r="941" spans="1:27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</row>
    <row r="942" spans="1:27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</row>
    <row r="943" spans="1:27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</row>
    <row r="944" spans="1:27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</row>
    <row r="945" spans="1:27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</row>
    <row r="946" spans="1:27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</row>
    <row r="947" spans="1:2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</row>
    <row r="948" spans="1:27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</row>
    <row r="949" spans="1:27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</row>
    <row r="950" spans="1:27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</row>
    <row r="951" spans="1:27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</row>
    <row r="952" spans="1:27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</row>
    <row r="953" spans="1:27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</row>
    <row r="954" spans="1:27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</row>
    <row r="955" spans="1:27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</row>
    <row r="956" spans="1:27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</row>
    <row r="957" spans="1:2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</row>
    <row r="958" spans="1:27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</row>
    <row r="959" spans="1:27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</row>
    <row r="960" spans="1:27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</row>
    <row r="961" spans="1:27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</row>
    <row r="962" spans="1:27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</row>
    <row r="963" spans="1:27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</row>
    <row r="964" spans="1:27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</row>
    <row r="965" spans="1:27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</row>
    <row r="966" spans="1:27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</row>
    <row r="967" spans="1:2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</row>
    <row r="968" spans="1:27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</row>
    <row r="969" spans="1:27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</row>
    <row r="970" spans="1:27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</row>
    <row r="971" spans="1:27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</row>
    <row r="972" spans="1:27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</row>
    <row r="973" spans="1:27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</row>
    <row r="974" spans="1:27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</row>
    <row r="975" spans="1:27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</row>
    <row r="976" spans="1:27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</row>
    <row r="977" spans="1:2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</row>
    <row r="978" spans="1:27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</row>
    <row r="979" spans="1:27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</row>
    <row r="980" spans="1:27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</row>
    <row r="981" spans="1:27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</row>
    <row r="982" spans="1:27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</row>
    <row r="983" spans="1:27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</row>
    <row r="984" spans="1:27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</row>
    <row r="985" spans="1:27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</row>
    <row r="986" spans="1:27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</row>
    <row r="987" spans="1:2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</row>
    <row r="988" spans="1:27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</row>
    <row r="989" spans="1:27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</row>
    <row r="990" spans="1:27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</row>
    <row r="991" spans="1:27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</row>
    <row r="992" spans="1:27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</row>
    <row r="993" spans="1:27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</row>
    <row r="994" spans="1:27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</row>
    <row r="995" spans="1:27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</row>
    <row r="996" spans="1:27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</row>
    <row r="997" spans="1:27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</row>
    <row r="998" spans="1:27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</row>
    <row r="999" spans="1:27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</row>
    <row r="1000" spans="1:27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</row>
    <row r="1001" spans="1:27" ht="15.75" customHeight="1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  <c r="AA1001" s="3"/>
    </row>
    <row r="1002" spans="1:27" ht="15.75" customHeight="1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  <c r="AA1002" s="3"/>
    </row>
    <row r="1003" spans="1:27" ht="15.75" customHeight="1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  <c r="AA1003" s="3"/>
    </row>
    <row r="1004" spans="1:27" ht="15.75" customHeight="1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  <c r="AA1004" s="3"/>
    </row>
    <row r="1005" spans="1:27" ht="15.75" customHeight="1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  <c r="AA1005" s="3"/>
    </row>
    <row r="1006" spans="1:27" ht="15.75" customHeight="1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  <c r="AA1006" s="3"/>
    </row>
    <row r="1007" spans="1:27" ht="15.75" customHeight="1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  <c r="AA1007" s="3"/>
    </row>
    <row r="1008" spans="1:27" ht="15.75" customHeight="1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  <c r="Z1008" s="3"/>
      <c r="AA1008" s="3"/>
    </row>
    <row r="1009" spans="1:27" ht="15.75" customHeight="1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  <c r="Z1009" s="3"/>
      <c r="AA1009" s="3"/>
    </row>
    <row r="1010" spans="1:27" ht="15.75" customHeight="1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  <c r="Z1010" s="3"/>
      <c r="AA1010" s="3"/>
    </row>
    <row r="1011" spans="1:27" ht="15.75" customHeight="1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  <c r="W1011" s="3"/>
      <c r="X1011" s="3"/>
      <c r="Y1011" s="3"/>
      <c r="Z1011" s="3"/>
      <c r="AA1011" s="3"/>
    </row>
    <row r="1012" spans="1:27" ht="15.75" customHeight="1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  <c r="W1012" s="3"/>
      <c r="X1012" s="3"/>
      <c r="Y1012" s="3"/>
      <c r="Z1012" s="3"/>
      <c r="AA1012" s="3"/>
    </row>
    <row r="1013" spans="1:27" ht="15.75" customHeight="1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/>
      <c r="W1013" s="3"/>
      <c r="X1013" s="3"/>
      <c r="Y1013" s="3"/>
      <c r="Z1013" s="3"/>
      <c r="AA1013" s="3"/>
    </row>
    <row r="1014" spans="1:27" ht="15.75" customHeight="1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Q1014" s="3"/>
      <c r="R1014" s="3"/>
      <c r="S1014" s="3"/>
      <c r="T1014" s="3"/>
      <c r="U1014" s="3"/>
      <c r="V1014" s="3"/>
      <c r="W1014" s="3"/>
      <c r="X1014" s="3"/>
      <c r="Y1014" s="3"/>
      <c r="Z1014" s="3"/>
      <c r="AA1014" s="3"/>
    </row>
    <row r="1015" spans="1:27" ht="15.75" customHeight="1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Q1015" s="3"/>
      <c r="R1015" s="3"/>
      <c r="S1015" s="3"/>
      <c r="T1015" s="3"/>
      <c r="U1015" s="3"/>
      <c r="V1015" s="3"/>
      <c r="W1015" s="3"/>
      <c r="X1015" s="3"/>
      <c r="Y1015" s="3"/>
      <c r="Z1015" s="3"/>
      <c r="AA1015" s="3"/>
    </row>
    <row r="1016" spans="1:27" ht="15.75" customHeight="1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Q1016" s="3"/>
      <c r="R1016" s="3"/>
      <c r="S1016" s="3"/>
      <c r="T1016" s="3"/>
      <c r="U1016" s="3"/>
      <c r="V1016" s="3"/>
      <c r="W1016" s="3"/>
      <c r="X1016" s="3"/>
      <c r="Y1016" s="3"/>
      <c r="Z1016" s="3"/>
      <c r="AA1016" s="3"/>
    </row>
    <row r="1017" spans="1:27" ht="15.75" customHeight="1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Q1017" s="3"/>
      <c r="R1017" s="3"/>
      <c r="S1017" s="3"/>
      <c r="T1017" s="3"/>
      <c r="U1017" s="3"/>
      <c r="V1017" s="3"/>
      <c r="W1017" s="3"/>
      <c r="X1017" s="3"/>
      <c r="Y1017" s="3"/>
      <c r="Z1017" s="3"/>
      <c r="AA1017" s="3"/>
    </row>
    <row r="1018" spans="1:27" ht="15.75" customHeight="1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Q1018" s="3"/>
      <c r="R1018" s="3"/>
      <c r="S1018" s="3"/>
      <c r="T1018" s="3"/>
      <c r="U1018" s="3"/>
      <c r="V1018" s="3"/>
      <c r="W1018" s="3"/>
      <c r="X1018" s="3"/>
      <c r="Y1018" s="3"/>
      <c r="Z1018" s="3"/>
      <c r="AA1018" s="3"/>
    </row>
    <row r="1019" spans="1:27" ht="15.75" customHeight="1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Q1019" s="3"/>
      <c r="R1019" s="3"/>
      <c r="S1019" s="3"/>
      <c r="T1019" s="3"/>
      <c r="U1019" s="3"/>
      <c r="V1019" s="3"/>
      <c r="W1019" s="3"/>
      <c r="X1019" s="3"/>
      <c r="Y1019" s="3"/>
      <c r="Z1019" s="3"/>
      <c r="AA1019" s="3"/>
    </row>
    <row r="1020" spans="1:27" ht="15.75" customHeight="1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Q1020" s="3"/>
      <c r="R1020" s="3"/>
      <c r="S1020" s="3"/>
      <c r="T1020" s="3"/>
      <c r="U1020" s="3"/>
      <c r="V1020" s="3"/>
      <c r="W1020" s="3"/>
      <c r="X1020" s="3"/>
      <c r="Y1020" s="3"/>
      <c r="Z1020" s="3"/>
      <c r="AA1020" s="3"/>
    </row>
    <row r="1021" spans="1:27" ht="15.75" customHeight="1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Q1021" s="3"/>
      <c r="R1021" s="3"/>
      <c r="S1021" s="3"/>
      <c r="T1021" s="3"/>
      <c r="U1021" s="3"/>
      <c r="V1021" s="3"/>
      <c r="W1021" s="3"/>
      <c r="X1021" s="3"/>
      <c r="Y1021" s="3"/>
      <c r="Z1021" s="3"/>
      <c r="AA1021" s="3"/>
    </row>
    <row r="1022" spans="1:27" ht="15.75" customHeight="1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Q1022" s="3"/>
      <c r="R1022" s="3"/>
      <c r="S1022" s="3"/>
      <c r="T1022" s="3"/>
      <c r="U1022" s="3"/>
      <c r="V1022" s="3"/>
      <c r="W1022" s="3"/>
      <c r="X1022" s="3"/>
      <c r="Y1022" s="3"/>
      <c r="Z1022" s="3"/>
      <c r="AA1022" s="3"/>
    </row>
    <row r="1023" spans="1:27" ht="15.75" customHeight="1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Q1023" s="3"/>
      <c r="R1023" s="3"/>
      <c r="S1023" s="3"/>
      <c r="T1023" s="3"/>
      <c r="U1023" s="3"/>
      <c r="V1023" s="3"/>
      <c r="W1023" s="3"/>
      <c r="X1023" s="3"/>
      <c r="Y1023" s="3"/>
      <c r="Z1023" s="3"/>
      <c r="AA1023" s="3"/>
    </row>
    <row r="1024" spans="1:27" ht="15.75" customHeight="1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Q1024" s="3"/>
      <c r="R1024" s="3"/>
      <c r="S1024" s="3"/>
      <c r="T1024" s="3"/>
      <c r="U1024" s="3"/>
      <c r="V1024" s="3"/>
      <c r="W1024" s="3"/>
      <c r="X1024" s="3"/>
      <c r="Y1024" s="3"/>
      <c r="Z1024" s="3"/>
      <c r="AA1024" s="3"/>
    </row>
    <row r="1025" spans="1:27" ht="15.75" customHeight="1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Q1025" s="3"/>
      <c r="R1025" s="3"/>
      <c r="S1025" s="3"/>
      <c r="T1025" s="3"/>
      <c r="U1025" s="3"/>
      <c r="V1025" s="3"/>
      <c r="W1025" s="3"/>
      <c r="X1025" s="3"/>
      <c r="Y1025" s="3"/>
      <c r="Z1025" s="3"/>
      <c r="AA1025" s="3"/>
    </row>
    <row r="1026" spans="1:27" ht="15.75" customHeight="1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Q1026" s="3"/>
      <c r="R1026" s="3"/>
      <c r="S1026" s="3"/>
      <c r="T1026" s="3"/>
      <c r="U1026" s="3"/>
      <c r="V1026" s="3"/>
      <c r="W1026" s="3"/>
      <c r="X1026" s="3"/>
      <c r="Y1026" s="3"/>
      <c r="Z1026" s="3"/>
      <c r="AA1026" s="3"/>
    </row>
    <row r="1027" spans="1:27" ht="15.75" customHeight="1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Q1027" s="3"/>
      <c r="R1027" s="3"/>
      <c r="S1027" s="3"/>
      <c r="T1027" s="3"/>
      <c r="U1027" s="3"/>
      <c r="V1027" s="3"/>
      <c r="W1027" s="3"/>
      <c r="X1027" s="3"/>
      <c r="Y1027" s="3"/>
      <c r="Z1027" s="3"/>
      <c r="AA1027" s="3"/>
    </row>
    <row r="1028" spans="1:27" ht="15.75" customHeight="1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Q1028" s="3"/>
      <c r="R1028" s="3"/>
      <c r="S1028" s="3"/>
      <c r="T1028" s="3"/>
      <c r="U1028" s="3"/>
      <c r="V1028" s="3"/>
      <c r="W1028" s="3"/>
      <c r="X1028" s="3"/>
      <c r="Y1028" s="3"/>
      <c r="Z1028" s="3"/>
      <c r="AA1028" s="3"/>
    </row>
    <row r="1029" spans="1:27" ht="15.75" customHeight="1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Q1029" s="3"/>
      <c r="R1029" s="3"/>
      <c r="S1029" s="3"/>
      <c r="T1029" s="3"/>
      <c r="U1029" s="3"/>
      <c r="V1029" s="3"/>
      <c r="W1029" s="3"/>
      <c r="X1029" s="3"/>
      <c r="Y1029" s="3"/>
      <c r="Z1029" s="3"/>
      <c r="AA1029" s="3"/>
    </row>
    <row r="1030" spans="1:27" ht="15.75" customHeight="1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Q1030" s="3"/>
      <c r="R1030" s="3"/>
      <c r="S1030" s="3"/>
      <c r="T1030" s="3"/>
      <c r="U1030" s="3"/>
      <c r="V1030" s="3"/>
      <c r="W1030" s="3"/>
      <c r="X1030" s="3"/>
      <c r="Y1030" s="3"/>
      <c r="Z1030" s="3"/>
      <c r="AA1030" s="3"/>
    </row>
    <row r="1031" spans="1:27" ht="15.75" customHeight="1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Q1031" s="3"/>
      <c r="R1031" s="3"/>
      <c r="S1031" s="3"/>
      <c r="T1031" s="3"/>
      <c r="U1031" s="3"/>
      <c r="V1031" s="3"/>
      <c r="W1031" s="3"/>
      <c r="X1031" s="3"/>
      <c r="Y1031" s="3"/>
      <c r="Z1031" s="3"/>
      <c r="AA1031" s="3"/>
    </row>
    <row r="1032" spans="1:27" ht="15.75" customHeight="1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Q1032" s="3"/>
      <c r="R1032" s="3"/>
      <c r="S1032" s="3"/>
      <c r="T1032" s="3"/>
      <c r="U1032" s="3"/>
      <c r="V1032" s="3"/>
      <c r="W1032" s="3"/>
      <c r="X1032" s="3"/>
      <c r="Y1032" s="3"/>
      <c r="Z1032" s="3"/>
      <c r="AA1032" s="3"/>
    </row>
    <row r="1033" spans="1:27" ht="15.75" customHeight="1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Q1033" s="3"/>
      <c r="R1033" s="3"/>
      <c r="S1033" s="3"/>
      <c r="T1033" s="3"/>
      <c r="U1033" s="3"/>
      <c r="V1033" s="3"/>
      <c r="W1033" s="3"/>
      <c r="X1033" s="3"/>
      <c r="Y1033" s="3"/>
      <c r="Z1033" s="3"/>
      <c r="AA1033" s="3"/>
    </row>
  </sheetData>
  <mergeCells count="208">
    <mergeCell ref="B2:K2"/>
    <mergeCell ref="B3:K3"/>
    <mergeCell ref="B4:K4"/>
    <mergeCell ref="B5:K5"/>
    <mergeCell ref="B6:K6"/>
    <mergeCell ref="B7:K7"/>
    <mergeCell ref="B8:D8"/>
    <mergeCell ref="B9:D9"/>
    <mergeCell ref="B10:D10"/>
    <mergeCell ref="B11:D11"/>
    <mergeCell ref="B12:K12"/>
    <mergeCell ref="B13:K13"/>
    <mergeCell ref="C14:J14"/>
    <mergeCell ref="C15:F15"/>
    <mergeCell ref="H15:I15"/>
    <mergeCell ref="C16:F16"/>
    <mergeCell ref="H16:I16"/>
    <mergeCell ref="C17:F17"/>
    <mergeCell ref="H17:I17"/>
    <mergeCell ref="B18:I18"/>
    <mergeCell ref="B19:J19"/>
    <mergeCell ref="B20:K20"/>
    <mergeCell ref="B21:K21"/>
    <mergeCell ref="B22:K22"/>
    <mergeCell ref="B23:K23"/>
    <mergeCell ref="C24:I24"/>
    <mergeCell ref="C25:I25"/>
    <mergeCell ref="C26:I26"/>
    <mergeCell ref="B27:J27"/>
    <mergeCell ref="B28:K28"/>
    <mergeCell ref="B29:K29"/>
    <mergeCell ref="B30:K30"/>
    <mergeCell ref="C31:I31"/>
    <mergeCell ref="C32:I32"/>
    <mergeCell ref="C33:I33"/>
    <mergeCell ref="C34:I34"/>
    <mergeCell ref="C35:I35"/>
    <mergeCell ref="C36:I36"/>
    <mergeCell ref="C37:I37"/>
    <mergeCell ref="C38:I38"/>
    <mergeCell ref="C39:I39"/>
    <mergeCell ref="B40:I40"/>
    <mergeCell ref="B41:K41"/>
    <mergeCell ref="B42:K42"/>
    <mergeCell ref="C43:I43"/>
    <mergeCell ref="C44:G44"/>
    <mergeCell ref="H44:I44"/>
    <mergeCell ref="C45:G45"/>
    <mergeCell ref="H45:I45"/>
    <mergeCell ref="J45:J47"/>
    <mergeCell ref="C46:G46"/>
    <mergeCell ref="H46:I46"/>
    <mergeCell ref="C47:G47"/>
    <mergeCell ref="H47:I47"/>
    <mergeCell ref="C48:G48"/>
    <mergeCell ref="H48:I48"/>
    <mergeCell ref="C49:I49"/>
    <mergeCell ref="J49:J50"/>
    <mergeCell ref="C50:I50"/>
    <mergeCell ref="B51:J51"/>
    <mergeCell ref="B53:K53"/>
    <mergeCell ref="C54:J54"/>
    <mergeCell ref="C55:J55"/>
    <mergeCell ref="C56:J56"/>
    <mergeCell ref="C57:J57"/>
    <mergeCell ref="B58:J58"/>
    <mergeCell ref="B59:K59"/>
    <mergeCell ref="B60:K60"/>
    <mergeCell ref="C61:I61"/>
    <mergeCell ref="C62:I62"/>
    <mergeCell ref="C63:I63"/>
    <mergeCell ref="C64:I64"/>
    <mergeCell ref="C65:I65"/>
    <mergeCell ref="C66:I66"/>
    <mergeCell ref="C67:I67"/>
    <mergeCell ref="B68:J68"/>
    <mergeCell ref="B69:K69"/>
    <mergeCell ref="B70:K70"/>
    <mergeCell ref="B71:K71"/>
    <mergeCell ref="C72:I72"/>
    <mergeCell ref="C73:I73"/>
    <mergeCell ref="C74:I74"/>
    <mergeCell ref="C75:I75"/>
    <mergeCell ref="C76:I76"/>
    <mergeCell ref="C77:I77"/>
    <mergeCell ref="C78:I78"/>
    <mergeCell ref="C79:I79"/>
    <mergeCell ref="C80:I80"/>
    <mergeCell ref="C81:I81"/>
    <mergeCell ref="C82:I82"/>
    <mergeCell ref="C83:I83"/>
    <mergeCell ref="B84:K84"/>
    <mergeCell ref="B85:K85"/>
    <mergeCell ref="B86:K86"/>
    <mergeCell ref="C87:J87"/>
    <mergeCell ref="C88:J88"/>
    <mergeCell ref="C89:J89"/>
    <mergeCell ref="C90:J90"/>
    <mergeCell ref="C91:J91"/>
    <mergeCell ref="C92:J92"/>
    <mergeCell ref="B93:K93"/>
    <mergeCell ref="B94:K94"/>
    <mergeCell ref="C95:D95"/>
    <mergeCell ref="I95:J95"/>
    <mergeCell ref="C96:D96"/>
    <mergeCell ref="I96:J96"/>
    <mergeCell ref="C97:D97"/>
    <mergeCell ref="I97:J97"/>
    <mergeCell ref="C98:D98"/>
    <mergeCell ref="I98:J98"/>
    <mergeCell ref="C99:D99"/>
    <mergeCell ref="I99:J99"/>
    <mergeCell ref="C100:J100"/>
    <mergeCell ref="C102:D102"/>
    <mergeCell ref="I102:J103"/>
    <mergeCell ref="K102:K103"/>
    <mergeCell ref="I104:J104"/>
    <mergeCell ref="I105:J105"/>
    <mergeCell ref="I106:J106"/>
    <mergeCell ref="I107:J107"/>
    <mergeCell ref="I108:J108"/>
    <mergeCell ref="I109:J109"/>
    <mergeCell ref="I110:J110"/>
    <mergeCell ref="I111:J111"/>
    <mergeCell ref="I112:J112"/>
    <mergeCell ref="I113:J113"/>
    <mergeCell ref="I114:J114"/>
    <mergeCell ref="C115:J115"/>
    <mergeCell ref="B116:K116"/>
    <mergeCell ref="C118:D118"/>
    <mergeCell ref="F118:H118"/>
    <mergeCell ref="I118:J118"/>
    <mergeCell ref="F119:H119"/>
    <mergeCell ref="I119:J119"/>
    <mergeCell ref="F120:J120"/>
    <mergeCell ref="F121:J121"/>
    <mergeCell ref="F122:J122"/>
    <mergeCell ref="F123:J123"/>
    <mergeCell ref="F124:J124"/>
    <mergeCell ref="F125:J125"/>
    <mergeCell ref="F126:J126"/>
    <mergeCell ref="F127:J127"/>
    <mergeCell ref="F128:J128"/>
    <mergeCell ref="F129:J129"/>
    <mergeCell ref="F130:J130"/>
    <mergeCell ref="C131:J131"/>
    <mergeCell ref="C133:D133"/>
    <mergeCell ref="I133:J133"/>
    <mergeCell ref="C134:D134"/>
    <mergeCell ref="I134:J134"/>
    <mergeCell ref="C135:J135"/>
    <mergeCell ref="C137:D137"/>
    <mergeCell ref="I137:J137"/>
    <mergeCell ref="C138:D138"/>
    <mergeCell ref="I138:J138"/>
    <mergeCell ref="C139:D139"/>
    <mergeCell ref="I139:J139"/>
    <mergeCell ref="C140:D140"/>
    <mergeCell ref="I140:J140"/>
    <mergeCell ref="C141:J141"/>
    <mergeCell ref="C143:D143"/>
    <mergeCell ref="I143:J143"/>
    <mergeCell ref="C144:D144"/>
    <mergeCell ref="I144:J144"/>
    <mergeCell ref="C145:J145"/>
    <mergeCell ref="B146:J146"/>
    <mergeCell ref="B147:K147"/>
    <mergeCell ref="B148:K148"/>
    <mergeCell ref="C149:H149"/>
    <mergeCell ref="C150:H150"/>
    <mergeCell ref="C151:H151"/>
    <mergeCell ref="C152:H152"/>
    <mergeCell ref="B153:K153"/>
    <mergeCell ref="B154:K154"/>
    <mergeCell ref="C155:E155"/>
    <mergeCell ref="G155:G157"/>
    <mergeCell ref="H155:I155"/>
    <mergeCell ref="C156:E156"/>
    <mergeCell ref="C157:E157"/>
    <mergeCell ref="B158:B159"/>
    <mergeCell ref="C158:C159"/>
    <mergeCell ref="F158:F159"/>
    <mergeCell ref="J158:J159"/>
    <mergeCell ref="K158:K159"/>
    <mergeCell ref="B160:B161"/>
    <mergeCell ref="C160:C161"/>
    <mergeCell ref="D160:D161"/>
    <mergeCell ref="E160:E161"/>
    <mergeCell ref="F160:F161"/>
    <mergeCell ref="J160:J161"/>
    <mergeCell ref="K160:K161"/>
    <mergeCell ref="B162:E162"/>
    <mergeCell ref="B164:K164"/>
    <mergeCell ref="C176:J176"/>
    <mergeCell ref="C177:J177"/>
    <mergeCell ref="B181:D181"/>
    <mergeCell ref="B182:D182"/>
    <mergeCell ref="H182:K182"/>
    <mergeCell ref="B204:F204"/>
    <mergeCell ref="B165:K165"/>
    <mergeCell ref="B167:K167"/>
    <mergeCell ref="C169:J169"/>
    <mergeCell ref="C170:J170"/>
    <mergeCell ref="C171:J171"/>
    <mergeCell ref="C172:J172"/>
    <mergeCell ref="C173:J173"/>
    <mergeCell ref="C174:J174"/>
    <mergeCell ref="C175:J175"/>
  </mergeCells>
  <hyperlinks>
    <hyperlink ref="N97" r:id="rId1" xr:uid="{00000000-0004-0000-0000-000000000000}"/>
    <hyperlink ref="M119" r:id="rId2" xr:uid="{00000000-0004-0000-0000-000001000000}"/>
  </hyperlinks>
  <printOptions horizontalCentered="1"/>
  <pageMargins left="0.51180555555555496" right="0.23611111111111099" top="0.59027777777777801" bottom="0.62986111111111098" header="0.51180555555555496" footer="0.51180555555555496"/>
  <pageSetup paperSize="9" scale="50" orientation="portrait" horizontalDpi="300" verticalDpi="300"/>
  <rowBreaks count="1" manualBreakCount="1">
    <brk id="9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MJ1020"/>
  <sheetViews>
    <sheetView topLeftCell="A136" zoomScale="75" zoomScaleNormal="75" workbookViewId="0">
      <selection activeCell="I114" sqref="I114:J114"/>
    </sheetView>
  </sheetViews>
  <sheetFormatPr defaultColWidth="14.42578125" defaultRowHeight="15"/>
  <cols>
    <col min="1" max="1" width="9.140625" style="2" customWidth="1"/>
    <col min="2" max="2" width="25.140625" style="2" customWidth="1"/>
    <col min="3" max="3" width="21.7109375" style="2" customWidth="1"/>
    <col min="4" max="4" width="19.85546875" style="2" customWidth="1"/>
    <col min="5" max="5" width="17.28515625" style="2" customWidth="1"/>
    <col min="6" max="6" width="19.85546875" style="2" customWidth="1"/>
    <col min="7" max="7" width="20.85546875" style="2" customWidth="1"/>
    <col min="8" max="8" width="17" style="2" customWidth="1"/>
    <col min="9" max="9" width="11" style="2" customWidth="1"/>
    <col min="10" max="10" width="13.5703125" style="2" customWidth="1"/>
    <col min="11" max="11" width="15.85546875" style="2" customWidth="1"/>
    <col min="12" max="12" width="17.85546875" style="2" hidden="1" customWidth="1"/>
    <col min="13" max="13" width="16.7109375" style="2" hidden="1" customWidth="1"/>
    <col min="14" max="14" width="15.42578125" style="2" hidden="1" customWidth="1"/>
    <col min="15" max="15" width="10.140625" style="2" hidden="1" customWidth="1"/>
    <col min="16" max="16" width="10" style="2" hidden="1" customWidth="1"/>
    <col min="17" max="17" width="12.140625" style="2" hidden="1" customWidth="1"/>
    <col min="18" max="19" width="9.140625" style="2" hidden="1" customWidth="1"/>
    <col min="20" max="27" width="9.140625" style="2" customWidth="1"/>
    <col min="28" max="1024" width="14.42578125" style="2"/>
  </cols>
  <sheetData>
    <row r="1" spans="1:27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>
      <c r="A2" s="3"/>
      <c r="B2" s="134" t="s">
        <v>0</v>
      </c>
      <c r="C2" s="134"/>
      <c r="D2" s="134"/>
      <c r="E2" s="134"/>
      <c r="F2" s="134"/>
      <c r="G2" s="134"/>
      <c r="H2" s="134"/>
      <c r="I2" s="134"/>
      <c r="J2" s="134"/>
      <c r="K2" s="134"/>
      <c r="L2" s="4"/>
      <c r="M2" s="4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>
      <c r="A3" s="3"/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5">
        <f>'0-1'!L3</f>
        <v>63.2</v>
      </c>
      <c r="M3" s="3" t="s">
        <v>4</v>
      </c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ht="11.25" customHeight="1">
      <c r="A4" s="3"/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ht="17.25" customHeight="1">
      <c r="A5" s="3"/>
      <c r="B5" s="134" t="s">
        <v>6</v>
      </c>
      <c r="C5" s="134"/>
      <c r="D5" s="134"/>
      <c r="E5" s="134"/>
      <c r="F5" s="134"/>
      <c r="G5" s="134"/>
      <c r="H5" s="134"/>
      <c r="I5" s="134"/>
      <c r="J5" s="134"/>
      <c r="K5" s="134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spans="1:27">
      <c r="A6" s="3"/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>
      <c r="A7" s="3"/>
      <c r="B7" s="172" t="s">
        <v>7</v>
      </c>
      <c r="C7" s="172"/>
      <c r="D7" s="172"/>
      <c r="E7" s="172"/>
      <c r="F7" s="172"/>
      <c r="G7" s="172"/>
      <c r="H7" s="172"/>
      <c r="I7" s="172"/>
      <c r="J7" s="172"/>
      <c r="K7" s="172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ht="12.75" customHeight="1">
      <c r="A8" s="3"/>
      <c r="B8" s="153" t="s">
        <v>8</v>
      </c>
      <c r="C8" s="153"/>
      <c r="D8" s="153"/>
      <c r="E8" s="6" t="s">
        <v>9</v>
      </c>
      <c r="F8" s="6" t="s">
        <v>10</v>
      </c>
      <c r="G8" s="6"/>
      <c r="H8" s="7" t="s">
        <v>11</v>
      </c>
      <c r="I8" s="8"/>
      <c r="J8" s="8" t="s">
        <v>12</v>
      </c>
      <c r="K8" s="6" t="s">
        <v>12</v>
      </c>
      <c r="L8" s="4"/>
      <c r="M8" s="4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ht="12.75" customHeight="1">
      <c r="A9" s="3"/>
      <c r="B9" s="174" t="s">
        <v>15</v>
      </c>
      <c r="C9" s="174"/>
      <c r="D9" s="174"/>
      <c r="E9" s="15" t="str">
        <f>'0-1'!E9</f>
        <v>SITRACOVER</v>
      </c>
      <c r="F9" s="15" t="str">
        <f>'0-1'!F9</f>
        <v>RS002118/2024</v>
      </c>
      <c r="G9" s="15"/>
      <c r="H9" s="15" t="str">
        <f>'0-1'!H9</f>
        <v>01 de fevereiro 2024</v>
      </c>
      <c r="I9" s="15"/>
      <c r="J9" s="116">
        <f>'0-1'!J9</f>
        <v>0</v>
      </c>
      <c r="K9" s="13">
        <f>((J9/220)*220)*L9</f>
        <v>0</v>
      </c>
      <c r="L9" s="102">
        <f>'0-1'!L9</f>
        <v>1</v>
      </c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ht="12.75" customHeight="1">
      <c r="A10" s="3"/>
      <c r="B10" s="174" t="s">
        <v>20</v>
      </c>
      <c r="C10" s="174"/>
      <c r="D10" s="174"/>
      <c r="E10" s="15" t="str">
        <f>'0-1'!E10</f>
        <v>SITRACOVER</v>
      </c>
      <c r="F10" s="15" t="str">
        <f>'0-1'!F10</f>
        <v>RS002118/2024</v>
      </c>
      <c r="G10" s="15"/>
      <c r="H10" s="15" t="str">
        <f>'0-1'!H10</f>
        <v>01 de fevereiro 2024</v>
      </c>
      <c r="I10" s="15"/>
      <c r="J10" s="116">
        <f>'0-1'!J10</f>
        <v>0</v>
      </c>
      <c r="K10" s="13">
        <f>((J10/220)*220)*L9</f>
        <v>0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7" ht="12.75" customHeight="1">
      <c r="A11" s="3"/>
      <c r="B11" s="174"/>
      <c r="C11" s="174"/>
      <c r="D11" s="174"/>
      <c r="E11" s="15"/>
      <c r="F11" s="16"/>
      <c r="G11" s="16"/>
      <c r="H11" s="11"/>
      <c r="I11" s="11"/>
      <c r="J11" s="117"/>
      <c r="K11" s="1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7" ht="12.75" customHeight="1">
      <c r="A12" s="17"/>
      <c r="B12" s="146"/>
      <c r="C12" s="146"/>
      <c r="D12" s="146"/>
      <c r="E12" s="146"/>
      <c r="F12" s="146"/>
      <c r="G12" s="146"/>
      <c r="H12" s="146"/>
      <c r="I12" s="146"/>
      <c r="J12" s="146"/>
      <c r="K12" s="146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</row>
    <row r="13" spans="1:27" ht="12.75" customHeight="1">
      <c r="A13" s="3"/>
      <c r="B13" s="172" t="s">
        <v>21</v>
      </c>
      <c r="C13" s="172"/>
      <c r="D13" s="172"/>
      <c r="E13" s="172"/>
      <c r="F13" s="172"/>
      <c r="G13" s="172"/>
      <c r="H13" s="172"/>
      <c r="I13" s="172"/>
      <c r="J13" s="172"/>
      <c r="K13" s="172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ht="12.75" customHeight="1">
      <c r="A14" s="3"/>
      <c r="B14" s="6">
        <v>1</v>
      </c>
      <c r="C14" s="153" t="s">
        <v>22</v>
      </c>
      <c r="D14" s="153"/>
      <c r="E14" s="153"/>
      <c r="F14" s="153"/>
      <c r="G14" s="153"/>
      <c r="H14" s="153"/>
      <c r="I14" s="153"/>
      <c r="J14" s="153"/>
      <c r="K14" s="19" t="s">
        <v>23</v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ht="12.75" customHeight="1">
      <c r="A15" s="3"/>
      <c r="B15" s="18" t="s">
        <v>24</v>
      </c>
      <c r="C15" s="138" t="s">
        <v>25</v>
      </c>
      <c r="D15" s="138"/>
      <c r="E15" s="138"/>
      <c r="F15" s="138"/>
      <c r="G15" s="20"/>
      <c r="H15" s="146" t="s">
        <v>26</v>
      </c>
      <c r="I15" s="146"/>
      <c r="J15" s="11" t="s">
        <v>27</v>
      </c>
      <c r="K15" s="11" t="s">
        <v>27</v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ht="12.75" customHeight="1">
      <c r="A16" s="3"/>
      <c r="B16" s="21" t="s">
        <v>28</v>
      </c>
      <c r="C16" s="138" t="str">
        <f>B9</f>
        <v>Motorista(CBO xxx)</v>
      </c>
      <c r="D16" s="138"/>
      <c r="E16" s="138"/>
      <c r="F16" s="138"/>
      <c r="G16" s="20"/>
      <c r="H16" s="146">
        <v>1</v>
      </c>
      <c r="I16" s="146"/>
      <c r="J16" s="22">
        <f>K9</f>
        <v>0</v>
      </c>
      <c r="K16" s="23">
        <f>H16*J16</f>
        <v>0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ht="12.75" customHeight="1">
      <c r="A17" s="3"/>
      <c r="B17" s="21" t="s">
        <v>29</v>
      </c>
      <c r="C17" s="138" t="str">
        <f>B10</f>
        <v>Monitor (CBO XXX)</v>
      </c>
      <c r="D17" s="138"/>
      <c r="E17" s="138"/>
      <c r="F17" s="138"/>
      <c r="G17" s="20"/>
      <c r="H17" s="146">
        <v>1</v>
      </c>
      <c r="I17" s="146"/>
      <c r="J17" s="22">
        <f>K10</f>
        <v>0</v>
      </c>
      <c r="K17" s="23">
        <f>H17*J17</f>
        <v>0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27" ht="12.75" customHeight="1">
      <c r="A18" s="3"/>
      <c r="B18" s="146"/>
      <c r="C18" s="146"/>
      <c r="D18" s="146"/>
      <c r="E18" s="146"/>
      <c r="F18" s="146"/>
      <c r="G18" s="146"/>
      <c r="H18" s="146"/>
      <c r="I18" s="146"/>
      <c r="J18" s="22"/>
      <c r="K18" s="2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12.75" customHeight="1">
      <c r="A19" s="3"/>
      <c r="B19" s="142" t="s">
        <v>30</v>
      </c>
      <c r="C19" s="142"/>
      <c r="D19" s="142"/>
      <c r="E19" s="142"/>
      <c r="F19" s="142"/>
      <c r="G19" s="142"/>
      <c r="H19" s="142"/>
      <c r="I19" s="142"/>
      <c r="J19" s="142"/>
      <c r="K19" s="25">
        <f>SUM(K16:K18)</f>
        <v>0</v>
      </c>
      <c r="L19" s="3"/>
      <c r="M19" s="26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ht="12.75" customHeight="1">
      <c r="A20" s="3"/>
      <c r="B20" s="171"/>
      <c r="C20" s="171"/>
      <c r="D20" s="171"/>
      <c r="E20" s="171"/>
      <c r="F20" s="171"/>
      <c r="G20" s="171"/>
      <c r="H20" s="171"/>
      <c r="I20" s="171"/>
      <c r="J20" s="171"/>
      <c r="K20" s="171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12.75" customHeight="1">
      <c r="A21" s="3"/>
      <c r="B21" s="172" t="s">
        <v>31</v>
      </c>
      <c r="C21" s="172"/>
      <c r="D21" s="172"/>
      <c r="E21" s="172"/>
      <c r="F21" s="172"/>
      <c r="G21" s="172"/>
      <c r="H21" s="172"/>
      <c r="I21" s="172"/>
      <c r="J21" s="172"/>
      <c r="K21" s="172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12.75" customHeight="1">
      <c r="A22" s="3"/>
      <c r="B22" s="173"/>
      <c r="C22" s="173"/>
      <c r="D22" s="173"/>
      <c r="E22" s="173"/>
      <c r="F22" s="173"/>
      <c r="G22" s="173"/>
      <c r="H22" s="173"/>
      <c r="I22" s="173"/>
      <c r="J22" s="173"/>
      <c r="K22" s="17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ht="12.75" customHeight="1">
      <c r="A23" s="3"/>
      <c r="B23" s="161" t="s">
        <v>32</v>
      </c>
      <c r="C23" s="161"/>
      <c r="D23" s="161"/>
      <c r="E23" s="161"/>
      <c r="F23" s="161"/>
      <c r="G23" s="161"/>
      <c r="H23" s="161"/>
      <c r="I23" s="161"/>
      <c r="J23" s="161"/>
      <c r="K23" s="161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ht="12.75" customHeight="1">
      <c r="A24" s="3"/>
      <c r="B24" s="24" t="s">
        <v>33</v>
      </c>
      <c r="C24" s="143" t="s">
        <v>34</v>
      </c>
      <c r="D24" s="143"/>
      <c r="E24" s="143"/>
      <c r="F24" s="143"/>
      <c r="G24" s="143"/>
      <c r="H24" s="143"/>
      <c r="I24" s="143"/>
      <c r="J24" s="24" t="s">
        <v>35</v>
      </c>
      <c r="K24" s="27" t="s">
        <v>23</v>
      </c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ht="12.75" customHeight="1">
      <c r="A25" s="3"/>
      <c r="B25" s="18" t="s">
        <v>24</v>
      </c>
      <c r="C25" s="138" t="s">
        <v>36</v>
      </c>
      <c r="D25" s="138"/>
      <c r="E25" s="138"/>
      <c r="F25" s="138"/>
      <c r="G25" s="138"/>
      <c r="H25" s="138"/>
      <c r="I25" s="138"/>
      <c r="J25" s="28">
        <f>1/12%</f>
        <v>8.3333333333333339</v>
      </c>
      <c r="K25" s="23">
        <f>J25*K19%</f>
        <v>0</v>
      </c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 ht="12.75" customHeight="1">
      <c r="A26" s="3"/>
      <c r="B26" s="18" t="s">
        <v>37</v>
      </c>
      <c r="C26" s="138" t="s">
        <v>38</v>
      </c>
      <c r="D26" s="138"/>
      <c r="E26" s="138"/>
      <c r="F26" s="138"/>
      <c r="G26" s="138"/>
      <c r="H26" s="138"/>
      <c r="I26" s="138"/>
      <c r="J26" s="28">
        <v>2.78</v>
      </c>
      <c r="K26" s="23">
        <f>J26*K19%</f>
        <v>0</v>
      </c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ht="12.75" customHeight="1">
      <c r="A27" s="3"/>
      <c r="B27" s="142" t="s">
        <v>39</v>
      </c>
      <c r="C27" s="142"/>
      <c r="D27" s="142"/>
      <c r="E27" s="142"/>
      <c r="F27" s="142"/>
      <c r="G27" s="142"/>
      <c r="H27" s="142"/>
      <c r="I27" s="142"/>
      <c r="J27" s="142"/>
      <c r="K27" s="25">
        <f>SUM(K25:K26)</f>
        <v>0</v>
      </c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12.75" customHeight="1">
      <c r="A28" s="3"/>
      <c r="B28" s="157" t="s">
        <v>40</v>
      </c>
      <c r="C28" s="157"/>
      <c r="D28" s="157"/>
      <c r="E28" s="157"/>
      <c r="F28" s="157"/>
      <c r="G28" s="157"/>
      <c r="H28" s="157"/>
      <c r="I28" s="157"/>
      <c r="J28" s="157"/>
      <c r="K28" s="157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2.75" customHeight="1">
      <c r="A29" s="3"/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ht="12.75" customHeight="1">
      <c r="A30" s="3"/>
      <c r="B30" s="161" t="s">
        <v>41</v>
      </c>
      <c r="C30" s="161"/>
      <c r="D30" s="161"/>
      <c r="E30" s="161"/>
      <c r="F30" s="161"/>
      <c r="G30" s="161"/>
      <c r="H30" s="161"/>
      <c r="I30" s="161"/>
      <c r="J30" s="161"/>
      <c r="K30" s="161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ht="12.75" customHeight="1">
      <c r="A31" s="3"/>
      <c r="B31" s="24" t="s">
        <v>42</v>
      </c>
      <c r="C31" s="143" t="s">
        <v>43</v>
      </c>
      <c r="D31" s="143"/>
      <c r="E31" s="143"/>
      <c r="F31" s="143"/>
      <c r="G31" s="143"/>
      <c r="H31" s="143"/>
      <c r="I31" s="143"/>
      <c r="J31" s="24" t="s">
        <v>35</v>
      </c>
      <c r="K31" s="27" t="s">
        <v>23</v>
      </c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2.75" customHeight="1">
      <c r="A32" s="3"/>
      <c r="B32" s="18" t="s">
        <v>24</v>
      </c>
      <c r="C32" s="138" t="s">
        <v>44</v>
      </c>
      <c r="D32" s="138"/>
      <c r="E32" s="138"/>
      <c r="F32" s="138"/>
      <c r="G32" s="138"/>
      <c r="H32" s="138"/>
      <c r="I32" s="138"/>
      <c r="J32" s="28">
        <v>0</v>
      </c>
      <c r="K32" s="23">
        <f t="shared" ref="K32:K39" si="0">J32*($K$19%+$K$27%)</f>
        <v>0</v>
      </c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2.75" customHeight="1">
      <c r="A33" s="3"/>
      <c r="B33" s="18" t="s">
        <v>37</v>
      </c>
      <c r="C33" s="138" t="s">
        <v>45</v>
      </c>
      <c r="D33" s="138"/>
      <c r="E33" s="138"/>
      <c r="F33" s="138"/>
      <c r="G33" s="138"/>
      <c r="H33" s="138"/>
      <c r="I33" s="138"/>
      <c r="J33" s="28">
        <v>0</v>
      </c>
      <c r="K33" s="23">
        <f t="shared" si="0"/>
        <v>0</v>
      </c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 ht="12.75" customHeight="1">
      <c r="A34" s="3"/>
      <c r="B34" s="18" t="s">
        <v>46</v>
      </c>
      <c r="C34" s="138" t="s">
        <v>47</v>
      </c>
      <c r="D34" s="138"/>
      <c r="E34" s="138"/>
      <c r="F34" s="138"/>
      <c r="G34" s="138"/>
      <c r="H34" s="138"/>
      <c r="I34" s="138"/>
      <c r="J34" s="28">
        <v>0</v>
      </c>
      <c r="K34" s="23">
        <f t="shared" si="0"/>
        <v>0</v>
      </c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2.75" customHeight="1">
      <c r="A35" s="3"/>
      <c r="B35" s="18" t="s">
        <v>48</v>
      </c>
      <c r="C35" s="138" t="s">
        <v>49</v>
      </c>
      <c r="D35" s="138"/>
      <c r="E35" s="138"/>
      <c r="F35" s="138"/>
      <c r="G35" s="138"/>
      <c r="H35" s="138"/>
      <c r="I35" s="138"/>
      <c r="J35" s="28">
        <v>0</v>
      </c>
      <c r="K35" s="23">
        <f t="shared" si="0"/>
        <v>0</v>
      </c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"/>
      <c r="B36" s="18" t="s">
        <v>50</v>
      </c>
      <c r="C36" s="138" t="s">
        <v>51</v>
      </c>
      <c r="D36" s="138"/>
      <c r="E36" s="138"/>
      <c r="F36" s="138"/>
      <c r="G36" s="138"/>
      <c r="H36" s="138"/>
      <c r="I36" s="138"/>
      <c r="J36" s="28">
        <v>0</v>
      </c>
      <c r="K36" s="23">
        <f t="shared" si="0"/>
        <v>0</v>
      </c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2.75" customHeight="1">
      <c r="A37" s="3"/>
      <c r="B37" s="18" t="s">
        <v>52</v>
      </c>
      <c r="C37" s="138" t="s">
        <v>53</v>
      </c>
      <c r="D37" s="138"/>
      <c r="E37" s="138"/>
      <c r="F37" s="138"/>
      <c r="G37" s="138"/>
      <c r="H37" s="138"/>
      <c r="I37" s="138"/>
      <c r="J37" s="28">
        <v>8</v>
      </c>
      <c r="K37" s="23">
        <f t="shared" si="0"/>
        <v>0</v>
      </c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 ht="12.75" customHeight="1">
      <c r="A38" s="3"/>
      <c r="B38" s="18" t="s">
        <v>54</v>
      </c>
      <c r="C38" s="138" t="s">
        <v>55</v>
      </c>
      <c r="D38" s="138"/>
      <c r="E38" s="138"/>
      <c r="F38" s="138"/>
      <c r="G38" s="138"/>
      <c r="H38" s="138"/>
      <c r="I38" s="138"/>
      <c r="J38" s="28">
        <v>0</v>
      </c>
      <c r="K38" s="23">
        <f t="shared" si="0"/>
        <v>0</v>
      </c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2.75" customHeight="1">
      <c r="A39" s="3"/>
      <c r="B39" s="18" t="s">
        <v>56</v>
      </c>
      <c r="C39" s="138" t="s">
        <v>57</v>
      </c>
      <c r="D39" s="138"/>
      <c r="E39" s="138"/>
      <c r="F39" s="138"/>
      <c r="G39" s="138"/>
      <c r="H39" s="138"/>
      <c r="I39" s="138"/>
      <c r="J39" s="28">
        <v>0</v>
      </c>
      <c r="K39" s="23">
        <f t="shared" si="0"/>
        <v>0</v>
      </c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2.75" customHeight="1">
      <c r="A40" s="3"/>
      <c r="B40" s="142" t="s">
        <v>39</v>
      </c>
      <c r="C40" s="142"/>
      <c r="D40" s="142"/>
      <c r="E40" s="142"/>
      <c r="F40" s="142"/>
      <c r="G40" s="142"/>
      <c r="H40" s="142"/>
      <c r="I40" s="142"/>
      <c r="J40" s="29">
        <f>SUM(J32:J39)</f>
        <v>8</v>
      </c>
      <c r="K40" s="25">
        <f>SUM(K32:K39)</f>
        <v>0</v>
      </c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"/>
      <c r="B41" s="164"/>
      <c r="C41" s="164"/>
      <c r="D41" s="164"/>
      <c r="E41" s="164"/>
      <c r="F41" s="164"/>
      <c r="G41" s="164"/>
      <c r="H41" s="164"/>
      <c r="I41" s="164"/>
      <c r="J41" s="164"/>
      <c r="K41" s="164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"/>
      <c r="B42" s="161" t="s">
        <v>58</v>
      </c>
      <c r="C42" s="161"/>
      <c r="D42" s="161"/>
      <c r="E42" s="161"/>
      <c r="F42" s="161"/>
      <c r="G42" s="161"/>
      <c r="H42" s="161"/>
      <c r="I42" s="161"/>
      <c r="J42" s="161"/>
      <c r="K42" s="161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ht="12.75" customHeight="1">
      <c r="A43" s="3"/>
      <c r="B43" s="24" t="s">
        <v>59</v>
      </c>
      <c r="C43" s="143" t="s">
        <v>60</v>
      </c>
      <c r="D43" s="143"/>
      <c r="E43" s="143"/>
      <c r="F43" s="143"/>
      <c r="G43" s="143"/>
      <c r="H43" s="143"/>
      <c r="I43" s="143"/>
      <c r="J43" s="18"/>
      <c r="K43" s="30" t="s">
        <v>23</v>
      </c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2.75" customHeight="1">
      <c r="A44" s="3"/>
      <c r="B44" s="18" t="s">
        <v>24</v>
      </c>
      <c r="C44" s="138" t="s">
        <v>61</v>
      </c>
      <c r="D44" s="138"/>
      <c r="E44" s="138"/>
      <c r="F44" s="138"/>
      <c r="G44" s="138"/>
      <c r="H44" s="144" t="s">
        <v>62</v>
      </c>
      <c r="I44" s="144"/>
      <c r="J44" s="18" t="s">
        <v>63</v>
      </c>
      <c r="K44" s="32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 ht="12.75" customHeight="1">
      <c r="A45" s="3"/>
      <c r="B45" s="21" t="s">
        <v>28</v>
      </c>
      <c r="C45" s="138" t="str">
        <f>C16</f>
        <v>Motorista(CBO xxx)</v>
      </c>
      <c r="D45" s="138"/>
      <c r="E45" s="138"/>
      <c r="F45" s="138"/>
      <c r="G45" s="138"/>
      <c r="H45" s="146">
        <f>H16</f>
        <v>1</v>
      </c>
      <c r="I45" s="146"/>
      <c r="J45" s="179">
        <f>'0-1'!J45</f>
        <v>0</v>
      </c>
      <c r="K45" s="32">
        <f>(((J45*22*2)-(J16*6%))*H45)*L9</f>
        <v>0</v>
      </c>
      <c r="L45" s="3"/>
      <c r="M45" s="33"/>
      <c r="N45" s="34"/>
      <c r="O45" s="35"/>
      <c r="P45" s="34"/>
      <c r="Q45" s="34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12.75" customHeight="1">
      <c r="A46" s="3"/>
      <c r="B46" s="21" t="s">
        <v>29</v>
      </c>
      <c r="C46" s="138" t="str">
        <f>C17</f>
        <v>Monitor (CBO XXX)</v>
      </c>
      <c r="D46" s="138"/>
      <c r="E46" s="138"/>
      <c r="F46" s="138"/>
      <c r="G46" s="138"/>
      <c r="H46" s="146">
        <f>H17</f>
        <v>1</v>
      </c>
      <c r="I46" s="146"/>
      <c r="J46" s="179"/>
      <c r="K46" s="32">
        <f>(((J45*22*2)-(J17*6%))*H46)*L9</f>
        <v>0</v>
      </c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2.75" customHeight="1">
      <c r="A47" s="3"/>
      <c r="B47" s="21"/>
      <c r="C47" s="138" t="s">
        <v>64</v>
      </c>
      <c r="D47" s="138"/>
      <c r="E47" s="138"/>
      <c r="F47" s="138"/>
      <c r="G47" s="138"/>
      <c r="H47" s="146"/>
      <c r="I47" s="146"/>
      <c r="J47" s="179"/>
      <c r="K47" s="32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2.75" customHeight="1">
      <c r="A48" s="3"/>
      <c r="B48" s="18" t="s">
        <v>37</v>
      </c>
      <c r="C48" s="137" t="s">
        <v>65</v>
      </c>
      <c r="D48" s="137"/>
      <c r="E48" s="137"/>
      <c r="F48" s="137"/>
      <c r="G48" s="137"/>
      <c r="H48" s="146"/>
      <c r="I48" s="146"/>
      <c r="J48" s="11" t="s">
        <v>66</v>
      </c>
      <c r="K48" s="36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2.75" customHeight="1">
      <c r="A49" s="3"/>
      <c r="B49" s="21" t="s">
        <v>67</v>
      </c>
      <c r="C49" s="167" t="str">
        <f>C45</f>
        <v>Motorista(CBO xxx)</v>
      </c>
      <c r="D49" s="167"/>
      <c r="E49" s="167"/>
      <c r="F49" s="167"/>
      <c r="G49" s="167"/>
      <c r="H49" s="167"/>
      <c r="I49" s="167"/>
      <c r="J49" s="179" t="str">
        <f>F9</f>
        <v>RS002118/2024</v>
      </c>
      <c r="K49" s="32">
        <f>'0-1'!K49</f>
        <v>0</v>
      </c>
      <c r="L49" s="3" t="s">
        <v>68</v>
      </c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2.75" customHeight="1">
      <c r="A50" s="3"/>
      <c r="B50" s="21" t="s">
        <v>69</v>
      </c>
      <c r="C50" s="169" t="str">
        <f>C46</f>
        <v>Monitor (CBO XXX)</v>
      </c>
      <c r="D50" s="169"/>
      <c r="E50" s="169"/>
      <c r="F50" s="169"/>
      <c r="G50" s="169"/>
      <c r="H50" s="169"/>
      <c r="I50" s="169"/>
      <c r="J50" s="179"/>
      <c r="K50" s="32">
        <f>'0-1'!K50</f>
        <v>0</v>
      </c>
      <c r="L50" s="3" t="s">
        <v>68</v>
      </c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2.75" customHeight="1">
      <c r="A51" s="3"/>
      <c r="B51" s="142" t="s">
        <v>39</v>
      </c>
      <c r="C51" s="142"/>
      <c r="D51" s="142"/>
      <c r="E51" s="142"/>
      <c r="F51" s="142"/>
      <c r="G51" s="142"/>
      <c r="H51" s="142"/>
      <c r="I51" s="142"/>
      <c r="J51" s="142"/>
      <c r="K51" s="37">
        <f>SUM(K44:K50)</f>
        <v>0</v>
      </c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2.75" customHeight="1">
      <c r="A52" s="3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12.75" customHeight="1">
      <c r="A53" s="3"/>
      <c r="B53" s="161" t="s">
        <v>70</v>
      </c>
      <c r="C53" s="161"/>
      <c r="D53" s="161"/>
      <c r="E53" s="161"/>
      <c r="F53" s="161"/>
      <c r="G53" s="161"/>
      <c r="H53" s="161"/>
      <c r="I53" s="161"/>
      <c r="J53" s="161"/>
      <c r="K53" s="161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2.75" customHeight="1">
      <c r="A54" s="3"/>
      <c r="B54" s="24">
        <v>2</v>
      </c>
      <c r="C54" s="142" t="s">
        <v>71</v>
      </c>
      <c r="D54" s="142"/>
      <c r="E54" s="142"/>
      <c r="F54" s="142"/>
      <c r="G54" s="142"/>
      <c r="H54" s="142"/>
      <c r="I54" s="142"/>
      <c r="J54" s="142"/>
      <c r="K54" s="27" t="s">
        <v>23</v>
      </c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2.75" customHeight="1">
      <c r="A55" s="3"/>
      <c r="B55" s="18" t="s">
        <v>33</v>
      </c>
      <c r="C55" s="138" t="s">
        <v>72</v>
      </c>
      <c r="D55" s="138"/>
      <c r="E55" s="138"/>
      <c r="F55" s="138"/>
      <c r="G55" s="138"/>
      <c r="H55" s="138"/>
      <c r="I55" s="138"/>
      <c r="J55" s="138"/>
      <c r="K55" s="23">
        <f>K27</f>
        <v>0</v>
      </c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12.75" customHeight="1">
      <c r="A56" s="3"/>
      <c r="B56" s="18" t="s">
        <v>42</v>
      </c>
      <c r="C56" s="138" t="s">
        <v>43</v>
      </c>
      <c r="D56" s="138"/>
      <c r="E56" s="138"/>
      <c r="F56" s="138"/>
      <c r="G56" s="138"/>
      <c r="H56" s="138"/>
      <c r="I56" s="138"/>
      <c r="J56" s="138"/>
      <c r="K56" s="23">
        <f>K40</f>
        <v>0</v>
      </c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12.75" customHeight="1">
      <c r="A57" s="3"/>
      <c r="B57" s="18" t="s">
        <v>59</v>
      </c>
      <c r="C57" s="138" t="s">
        <v>60</v>
      </c>
      <c r="D57" s="138"/>
      <c r="E57" s="138"/>
      <c r="F57" s="138"/>
      <c r="G57" s="138"/>
      <c r="H57" s="138"/>
      <c r="I57" s="138"/>
      <c r="J57" s="138"/>
      <c r="K57" s="23">
        <f>K51</f>
        <v>0</v>
      </c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 ht="12.75" customHeight="1">
      <c r="A58" s="3"/>
      <c r="B58" s="142" t="s">
        <v>39</v>
      </c>
      <c r="C58" s="142"/>
      <c r="D58" s="142"/>
      <c r="E58" s="142"/>
      <c r="F58" s="142"/>
      <c r="G58" s="142"/>
      <c r="H58" s="142"/>
      <c r="I58" s="142"/>
      <c r="J58" s="142"/>
      <c r="K58" s="25">
        <f>SUM(K55:K57)</f>
        <v>0</v>
      </c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12.75" customHeight="1">
      <c r="A59" s="3"/>
      <c r="B59" s="165"/>
      <c r="C59" s="165"/>
      <c r="D59" s="165"/>
      <c r="E59" s="165"/>
      <c r="F59" s="165"/>
      <c r="G59" s="165"/>
      <c r="H59" s="165"/>
      <c r="I59" s="165"/>
      <c r="J59" s="165"/>
      <c r="K59" s="165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12.75" customHeight="1">
      <c r="A60" s="3"/>
      <c r="B60" s="161" t="s">
        <v>73</v>
      </c>
      <c r="C60" s="161"/>
      <c r="D60" s="161"/>
      <c r="E60" s="161"/>
      <c r="F60" s="161"/>
      <c r="G60" s="161"/>
      <c r="H60" s="161"/>
      <c r="I60" s="161"/>
      <c r="J60" s="161"/>
      <c r="K60" s="161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 ht="12.75" customHeight="1">
      <c r="A61" s="3"/>
      <c r="B61" s="24">
        <v>3</v>
      </c>
      <c r="C61" s="142" t="s">
        <v>74</v>
      </c>
      <c r="D61" s="142"/>
      <c r="E61" s="142"/>
      <c r="F61" s="142"/>
      <c r="G61" s="142"/>
      <c r="H61" s="142"/>
      <c r="I61" s="142"/>
      <c r="J61" s="24" t="s">
        <v>35</v>
      </c>
      <c r="K61" s="27" t="s">
        <v>23</v>
      </c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2.75" customHeight="1">
      <c r="A62" s="3"/>
      <c r="B62" s="18" t="s">
        <v>24</v>
      </c>
      <c r="C62" s="138" t="s">
        <v>75</v>
      </c>
      <c r="D62" s="138"/>
      <c r="E62" s="138"/>
      <c r="F62" s="138"/>
      <c r="G62" s="138"/>
      <c r="H62" s="138"/>
      <c r="I62" s="138"/>
      <c r="J62" s="28">
        <v>0.42</v>
      </c>
      <c r="K62" s="23">
        <f>J62*($K$19%)</f>
        <v>0</v>
      </c>
      <c r="L62" s="39"/>
      <c r="M62" s="40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2.75" customHeight="1">
      <c r="A63" s="3"/>
      <c r="B63" s="18" t="s">
        <v>37</v>
      </c>
      <c r="C63" s="138" t="s">
        <v>76</v>
      </c>
      <c r="D63" s="138"/>
      <c r="E63" s="138"/>
      <c r="F63" s="138"/>
      <c r="G63" s="138"/>
      <c r="H63" s="138"/>
      <c r="I63" s="138"/>
      <c r="J63" s="41">
        <v>3.3599999999999998E-2</v>
      </c>
      <c r="K63" s="23">
        <f>J63*$K$19%</f>
        <v>0</v>
      </c>
      <c r="L63" s="34"/>
      <c r="M63" s="40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2.75" customHeight="1">
      <c r="A64" s="3"/>
      <c r="B64" s="31" t="s">
        <v>46</v>
      </c>
      <c r="C64" s="138" t="s">
        <v>77</v>
      </c>
      <c r="D64" s="138"/>
      <c r="E64" s="138"/>
      <c r="F64" s="138"/>
      <c r="G64" s="138"/>
      <c r="H64" s="138"/>
      <c r="I64" s="138"/>
      <c r="J64" s="42">
        <v>3.44</v>
      </c>
      <c r="K64" s="43">
        <f>J64*K62%</f>
        <v>0</v>
      </c>
      <c r="L64" s="3"/>
      <c r="M64" s="40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2.75" customHeight="1">
      <c r="A65" s="3"/>
      <c r="B65" s="18" t="s">
        <v>48</v>
      </c>
      <c r="C65" s="166" t="s">
        <v>78</v>
      </c>
      <c r="D65" s="166"/>
      <c r="E65" s="166"/>
      <c r="F65" s="166"/>
      <c r="G65" s="166"/>
      <c r="H65" s="166"/>
      <c r="I65" s="166"/>
      <c r="J65" s="28">
        <v>1.94</v>
      </c>
      <c r="K65" s="23">
        <f>J65*$K$19%</f>
        <v>0</v>
      </c>
      <c r="L65" s="3"/>
      <c r="M65" s="40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2.75" customHeight="1">
      <c r="A66" s="3"/>
      <c r="B66" s="18" t="s">
        <v>50</v>
      </c>
      <c r="C66" s="138" t="s">
        <v>79</v>
      </c>
      <c r="D66" s="138"/>
      <c r="E66" s="138"/>
      <c r="F66" s="138"/>
      <c r="G66" s="138"/>
      <c r="H66" s="138"/>
      <c r="I66" s="138"/>
      <c r="J66" s="28">
        <v>0.72</v>
      </c>
      <c r="K66" s="23">
        <f>J66*$K$19%</f>
        <v>0</v>
      </c>
      <c r="L66" s="3"/>
      <c r="M66" s="40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2.75" customHeight="1">
      <c r="A67" s="3"/>
      <c r="B67" s="18" t="s">
        <v>52</v>
      </c>
      <c r="C67" s="138" t="s">
        <v>80</v>
      </c>
      <c r="D67" s="138"/>
      <c r="E67" s="138"/>
      <c r="F67" s="138"/>
      <c r="G67" s="138"/>
      <c r="H67" s="138"/>
      <c r="I67" s="138"/>
      <c r="J67" s="44">
        <v>6.2E-2</v>
      </c>
      <c r="K67" s="23">
        <f>J67*K65%</f>
        <v>0</v>
      </c>
      <c r="L67" s="3"/>
      <c r="M67" s="40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ht="12.75" customHeight="1">
      <c r="A68" s="3"/>
      <c r="B68" s="142" t="s">
        <v>39</v>
      </c>
      <c r="C68" s="142"/>
      <c r="D68" s="142"/>
      <c r="E68" s="142"/>
      <c r="F68" s="142"/>
      <c r="G68" s="142"/>
      <c r="H68" s="142"/>
      <c r="I68" s="142"/>
      <c r="J68" s="142"/>
      <c r="K68" s="25">
        <f>SUM(K62:K67)</f>
        <v>0</v>
      </c>
      <c r="L68" s="3"/>
      <c r="M68" s="26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1:27" ht="29.25" customHeight="1">
      <c r="A69" s="3"/>
      <c r="B69" s="157" t="s">
        <v>81</v>
      </c>
      <c r="C69" s="157"/>
      <c r="D69" s="157"/>
      <c r="E69" s="157"/>
      <c r="F69" s="157"/>
      <c r="G69" s="157"/>
      <c r="H69" s="157"/>
      <c r="I69" s="157"/>
      <c r="J69" s="157"/>
      <c r="K69" s="157"/>
      <c r="L69" s="3"/>
      <c r="M69" s="26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5.75" customHeight="1">
      <c r="A70" s="3"/>
      <c r="B70" s="164"/>
      <c r="C70" s="164"/>
      <c r="D70" s="164"/>
      <c r="E70" s="164"/>
      <c r="F70" s="164"/>
      <c r="G70" s="164"/>
      <c r="H70" s="164"/>
      <c r="I70" s="164"/>
      <c r="J70" s="164"/>
      <c r="K70" s="164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12.75" customHeight="1">
      <c r="A71" s="3"/>
      <c r="B71" s="161" t="s">
        <v>82</v>
      </c>
      <c r="C71" s="161"/>
      <c r="D71" s="161"/>
      <c r="E71" s="161"/>
      <c r="F71" s="161"/>
      <c r="G71" s="161"/>
      <c r="H71" s="161"/>
      <c r="I71" s="161"/>
      <c r="J71" s="161"/>
      <c r="K71" s="161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12.75" customHeight="1">
      <c r="A72" s="3"/>
      <c r="B72" s="24" t="s">
        <v>83</v>
      </c>
      <c r="C72" s="142" t="s">
        <v>84</v>
      </c>
      <c r="D72" s="142"/>
      <c r="E72" s="142"/>
      <c r="F72" s="142"/>
      <c r="G72" s="142"/>
      <c r="H72" s="142"/>
      <c r="I72" s="142"/>
      <c r="J72" s="24" t="s">
        <v>35</v>
      </c>
      <c r="K72" s="27" t="s">
        <v>85</v>
      </c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ht="12.75" customHeight="1">
      <c r="A73" s="3"/>
      <c r="B73" s="18" t="s">
        <v>24</v>
      </c>
      <c r="C73" s="138" t="s">
        <v>86</v>
      </c>
      <c r="D73" s="138"/>
      <c r="E73" s="138"/>
      <c r="F73" s="138"/>
      <c r="G73" s="138"/>
      <c r="H73" s="138"/>
      <c r="I73" s="138"/>
      <c r="J73" s="28">
        <v>0</v>
      </c>
      <c r="K73" s="13">
        <f t="shared" ref="K73:K78" si="1">J73*$K$19%</f>
        <v>0</v>
      </c>
      <c r="L73" s="3"/>
      <c r="M73" s="26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spans="1:27" ht="12.75" customHeight="1">
      <c r="A74" s="3"/>
      <c r="B74" s="18" t="s">
        <v>37</v>
      </c>
      <c r="C74" s="138" t="s">
        <v>87</v>
      </c>
      <c r="D74" s="138"/>
      <c r="E74" s="138"/>
      <c r="F74" s="138"/>
      <c r="G74" s="138"/>
      <c r="H74" s="138"/>
      <c r="I74" s="138"/>
      <c r="J74" s="18">
        <v>1.39</v>
      </c>
      <c r="K74" s="13">
        <f t="shared" si="1"/>
        <v>0</v>
      </c>
      <c r="L74" s="3"/>
      <c r="M74" s="26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2.75" customHeight="1">
      <c r="A75" s="3"/>
      <c r="B75" s="18" t="s">
        <v>46</v>
      </c>
      <c r="C75" s="138" t="s">
        <v>88</v>
      </c>
      <c r="D75" s="138"/>
      <c r="E75" s="138"/>
      <c r="F75" s="138"/>
      <c r="G75" s="138"/>
      <c r="H75" s="138"/>
      <c r="I75" s="138"/>
      <c r="J75" s="18">
        <v>0.28999999999999998</v>
      </c>
      <c r="K75" s="13">
        <f t="shared" si="1"/>
        <v>0</v>
      </c>
      <c r="L75" s="3"/>
      <c r="M75" s="26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2.75" customHeight="1">
      <c r="A76" s="3"/>
      <c r="B76" s="18" t="s">
        <v>48</v>
      </c>
      <c r="C76" s="138" t="s">
        <v>89</v>
      </c>
      <c r="D76" s="138"/>
      <c r="E76" s="138"/>
      <c r="F76" s="138"/>
      <c r="G76" s="138"/>
      <c r="H76" s="138"/>
      <c r="I76" s="138"/>
      <c r="J76" s="18">
        <v>0.02</v>
      </c>
      <c r="K76" s="13">
        <f t="shared" si="1"/>
        <v>0</v>
      </c>
      <c r="L76" s="3"/>
      <c r="M76" s="26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2.75" customHeight="1">
      <c r="A77" s="3"/>
      <c r="B77" s="18" t="s">
        <v>50</v>
      </c>
      <c r="C77" s="138" t="s">
        <v>90</v>
      </c>
      <c r="D77" s="138"/>
      <c r="E77" s="138"/>
      <c r="F77" s="138"/>
      <c r="G77" s="138"/>
      <c r="H77" s="138"/>
      <c r="I77" s="138"/>
      <c r="J77" s="18">
        <v>0.28000000000000003</v>
      </c>
      <c r="K77" s="13">
        <f t="shared" si="1"/>
        <v>0</v>
      </c>
      <c r="L77" s="3"/>
      <c r="M77" s="26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2.75" customHeight="1">
      <c r="A78" s="3"/>
      <c r="B78" s="18" t="s">
        <v>52</v>
      </c>
      <c r="C78" s="138" t="s">
        <v>91</v>
      </c>
      <c r="D78" s="138"/>
      <c r="E78" s="138"/>
      <c r="F78" s="138"/>
      <c r="G78" s="138"/>
      <c r="H78" s="138"/>
      <c r="I78" s="138"/>
      <c r="J78" s="18">
        <v>7.0000000000000007E-2</v>
      </c>
      <c r="K78" s="13">
        <f t="shared" si="1"/>
        <v>0</v>
      </c>
      <c r="L78" s="3"/>
      <c r="M78" s="26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2.75" customHeight="1">
      <c r="A79" s="3"/>
      <c r="B79" s="18"/>
      <c r="C79" s="138" t="s">
        <v>92</v>
      </c>
      <c r="D79" s="138"/>
      <c r="E79" s="138"/>
      <c r="F79" s="138"/>
      <c r="G79" s="138"/>
      <c r="H79" s="138"/>
      <c r="I79" s="138"/>
      <c r="J79" s="28">
        <f>SUM(J73:J78)</f>
        <v>2.0499999999999998</v>
      </c>
      <c r="K79" s="13">
        <f>SUM(K73:K78)</f>
        <v>0</v>
      </c>
      <c r="L79" s="3"/>
      <c r="M79" s="26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2.75" customHeight="1">
      <c r="A80" s="3"/>
      <c r="B80" s="18" t="s">
        <v>54</v>
      </c>
      <c r="C80" s="138" t="s">
        <v>93</v>
      </c>
      <c r="D80" s="138"/>
      <c r="E80" s="138"/>
      <c r="F80" s="138"/>
      <c r="G80" s="138"/>
      <c r="H80" s="138"/>
      <c r="I80" s="138"/>
      <c r="J80" s="18">
        <v>1.96</v>
      </c>
      <c r="K80" s="13">
        <f>J80*$K$19%</f>
        <v>0</v>
      </c>
      <c r="L80" s="3"/>
      <c r="M80" s="26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2.75" customHeight="1">
      <c r="A81" s="3"/>
      <c r="B81" s="18"/>
      <c r="C81" s="138" t="s">
        <v>94</v>
      </c>
      <c r="D81" s="138"/>
      <c r="E81" s="138"/>
      <c r="F81" s="138"/>
      <c r="G81" s="138"/>
      <c r="H81" s="138"/>
      <c r="I81" s="138"/>
      <c r="J81" s="28">
        <f>J79+J80</f>
        <v>4.01</v>
      </c>
      <c r="K81" s="13">
        <f>K79+K80</f>
        <v>0</v>
      </c>
      <c r="L81" s="3"/>
      <c r="M81" s="26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12.75" customHeight="1">
      <c r="A82" s="3"/>
      <c r="B82" s="18" t="s">
        <v>56</v>
      </c>
      <c r="C82" s="138" t="s">
        <v>95</v>
      </c>
      <c r="D82" s="138"/>
      <c r="E82" s="138"/>
      <c r="F82" s="138"/>
      <c r="G82" s="138"/>
      <c r="H82" s="138"/>
      <c r="I82" s="138"/>
      <c r="J82" s="18">
        <v>4.4800000000000004</v>
      </c>
      <c r="K82" s="13">
        <f>J82*$K$19%</f>
        <v>0</v>
      </c>
      <c r="L82" s="3"/>
      <c r="M82" s="26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12.75" customHeight="1">
      <c r="A83" s="3"/>
      <c r="B83" s="45"/>
      <c r="C83" s="142" t="s">
        <v>39</v>
      </c>
      <c r="D83" s="142"/>
      <c r="E83" s="142"/>
      <c r="F83" s="142"/>
      <c r="G83" s="142"/>
      <c r="H83" s="142"/>
      <c r="I83" s="142"/>
      <c r="J83" s="46">
        <f>J81+J82</f>
        <v>8.49</v>
      </c>
      <c r="K83" s="25">
        <f>K81+K82</f>
        <v>0</v>
      </c>
      <c r="L83" s="34"/>
      <c r="M83" s="34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12.75" customHeight="1">
      <c r="A84" s="3"/>
      <c r="B84" s="157" t="s">
        <v>40</v>
      </c>
      <c r="C84" s="157"/>
      <c r="D84" s="157"/>
      <c r="E84" s="157"/>
      <c r="F84" s="157"/>
      <c r="G84" s="157"/>
      <c r="H84" s="157"/>
      <c r="I84" s="157"/>
      <c r="J84" s="157"/>
      <c r="K84" s="157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2.75" customHeight="1">
      <c r="A85" s="3"/>
      <c r="B85" s="164"/>
      <c r="C85" s="164"/>
      <c r="D85" s="164"/>
      <c r="E85" s="164"/>
      <c r="F85" s="164"/>
      <c r="G85" s="164"/>
      <c r="H85" s="164"/>
      <c r="I85" s="164"/>
      <c r="J85" s="164"/>
      <c r="K85" s="164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2.75" customHeight="1">
      <c r="A86" s="3"/>
      <c r="B86" s="161" t="s">
        <v>96</v>
      </c>
      <c r="C86" s="161"/>
      <c r="D86" s="161"/>
      <c r="E86" s="161"/>
      <c r="F86" s="161"/>
      <c r="G86" s="161"/>
      <c r="H86" s="161"/>
      <c r="I86" s="161"/>
      <c r="J86" s="161"/>
      <c r="K86" s="161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2.75" customHeight="1">
      <c r="A87" s="3"/>
      <c r="B87" s="18"/>
      <c r="C87" s="142" t="s">
        <v>97</v>
      </c>
      <c r="D87" s="142"/>
      <c r="E87" s="142"/>
      <c r="F87" s="142"/>
      <c r="G87" s="142"/>
      <c r="H87" s="142"/>
      <c r="I87" s="142"/>
      <c r="J87" s="142"/>
      <c r="K87" s="24" t="s">
        <v>23</v>
      </c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2.75" customHeight="1">
      <c r="A88" s="3"/>
      <c r="B88" s="18" t="s">
        <v>24</v>
      </c>
      <c r="C88" s="138" t="s">
        <v>21</v>
      </c>
      <c r="D88" s="138"/>
      <c r="E88" s="138"/>
      <c r="F88" s="138"/>
      <c r="G88" s="138"/>
      <c r="H88" s="138"/>
      <c r="I88" s="138"/>
      <c r="J88" s="138"/>
      <c r="K88" s="13">
        <f>K19</f>
        <v>0</v>
      </c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2.75" customHeight="1">
      <c r="A89" s="3"/>
      <c r="B89" s="18" t="s">
        <v>37</v>
      </c>
      <c r="C89" s="138" t="s">
        <v>31</v>
      </c>
      <c r="D89" s="138"/>
      <c r="E89" s="138"/>
      <c r="F89" s="138"/>
      <c r="G89" s="138"/>
      <c r="H89" s="138"/>
      <c r="I89" s="138"/>
      <c r="J89" s="138"/>
      <c r="K89" s="13">
        <f>K58</f>
        <v>0</v>
      </c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3"/>
      <c r="B90" s="18" t="s">
        <v>46</v>
      </c>
      <c r="C90" s="138" t="s">
        <v>98</v>
      </c>
      <c r="D90" s="138"/>
      <c r="E90" s="138"/>
      <c r="F90" s="138"/>
      <c r="G90" s="138"/>
      <c r="H90" s="138"/>
      <c r="I90" s="138"/>
      <c r="J90" s="138"/>
      <c r="K90" s="13">
        <f>K68</f>
        <v>0</v>
      </c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2.75" customHeight="1">
      <c r="A91" s="3"/>
      <c r="B91" s="18" t="s">
        <v>48</v>
      </c>
      <c r="C91" s="138" t="s">
        <v>82</v>
      </c>
      <c r="D91" s="138"/>
      <c r="E91" s="138"/>
      <c r="F91" s="138"/>
      <c r="G91" s="138"/>
      <c r="H91" s="138"/>
      <c r="I91" s="138"/>
      <c r="J91" s="138"/>
      <c r="K91" s="13">
        <f>K83</f>
        <v>0</v>
      </c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 ht="12.75" customHeight="1">
      <c r="A92" s="3"/>
      <c r="B92" s="47"/>
      <c r="C92" s="143" t="s">
        <v>99</v>
      </c>
      <c r="D92" s="143"/>
      <c r="E92" s="143"/>
      <c r="F92" s="143"/>
      <c r="G92" s="143"/>
      <c r="H92" s="143"/>
      <c r="I92" s="143"/>
      <c r="J92" s="143"/>
      <c r="K92" s="48">
        <f>SUM(K88:K91)</f>
        <v>0</v>
      </c>
      <c r="L92" s="49"/>
      <c r="M92" s="49"/>
      <c r="N92" s="49"/>
      <c r="O92" s="49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 ht="23.25" customHeight="1">
      <c r="A93" s="3"/>
      <c r="B93" s="130"/>
      <c r="C93" s="130"/>
      <c r="D93" s="130"/>
      <c r="E93" s="130"/>
      <c r="F93" s="130"/>
      <c r="G93" s="130"/>
      <c r="H93" s="130"/>
      <c r="I93" s="130"/>
      <c r="J93" s="130"/>
      <c r="K93" s="130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 ht="17.25" customHeight="1">
      <c r="A94" s="3"/>
      <c r="B94" s="134" t="s">
        <v>100</v>
      </c>
      <c r="C94" s="134"/>
      <c r="D94" s="134"/>
      <c r="E94" s="134"/>
      <c r="F94" s="134"/>
      <c r="G94" s="134"/>
      <c r="H94" s="134"/>
      <c r="I94" s="134"/>
      <c r="J94" s="134"/>
      <c r="K94" s="134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 ht="12.75" customHeight="1">
      <c r="A95" s="3"/>
      <c r="B95" s="50" t="s">
        <v>24</v>
      </c>
      <c r="C95" s="163" t="s">
        <v>101</v>
      </c>
      <c r="D95" s="163"/>
      <c r="E95" s="6" t="s">
        <v>102</v>
      </c>
      <c r="F95" s="51" t="s">
        <v>103</v>
      </c>
      <c r="G95" s="51"/>
      <c r="H95" s="6" t="s">
        <v>104</v>
      </c>
      <c r="I95" s="153" t="s">
        <v>105</v>
      </c>
      <c r="J95" s="153"/>
      <c r="K95" s="19" t="s">
        <v>106</v>
      </c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 ht="24.75" customHeight="1">
      <c r="A96" s="3"/>
      <c r="B96" s="21" t="s">
        <v>28</v>
      </c>
      <c r="C96" s="138" t="s">
        <v>107</v>
      </c>
      <c r="D96" s="138"/>
      <c r="E96" s="52">
        <f>'0-1'!E96</f>
        <v>0</v>
      </c>
      <c r="F96" s="52" t="str">
        <f>'0-1'!F96</f>
        <v>Taxa</v>
      </c>
      <c r="G96" s="52">
        <f>'0-1'!G96</f>
        <v>0</v>
      </c>
      <c r="H96" s="118">
        <f>'0-1'!H96</f>
        <v>0</v>
      </c>
      <c r="I96" s="178">
        <f>'0-1'!I96</f>
        <v>0</v>
      </c>
      <c r="J96" s="178"/>
      <c r="K96" s="118">
        <f>'0-1'!K96</f>
        <v>0</v>
      </c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 ht="12.75" customHeight="1">
      <c r="A97" s="3"/>
      <c r="B97" s="21" t="s">
        <v>29</v>
      </c>
      <c r="C97" s="138" t="s">
        <v>109</v>
      </c>
      <c r="D97" s="138"/>
      <c r="E97" s="52">
        <f>'0-1'!E97</f>
        <v>8.3333333333333329E-2</v>
      </c>
      <c r="F97" s="52" t="str">
        <f>'0-1'!F97</f>
        <v>Taxa</v>
      </c>
      <c r="G97" s="52">
        <f>'0-1'!G97</f>
        <v>0</v>
      </c>
      <c r="H97" s="118">
        <f>'0-1'!H97</f>
        <v>0</v>
      </c>
      <c r="I97" s="178">
        <f>'0-1'!I97</f>
        <v>0</v>
      </c>
      <c r="J97" s="178"/>
      <c r="K97" s="118">
        <f>'0-1'!K97</f>
        <v>0</v>
      </c>
      <c r="L97" s="54" t="s">
        <v>110</v>
      </c>
      <c r="M97" s="3"/>
      <c r="N97" s="55" t="s">
        <v>111</v>
      </c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 ht="12.75" customHeight="1">
      <c r="A98" s="3"/>
      <c r="B98" s="21" t="s">
        <v>112</v>
      </c>
      <c r="C98" s="138" t="s">
        <v>113</v>
      </c>
      <c r="D98" s="138"/>
      <c r="E98" s="52">
        <f>'0-1'!E98</f>
        <v>0.16666666666666666</v>
      </c>
      <c r="F98" s="52" t="str">
        <f>'0-1'!F98</f>
        <v>Taxa</v>
      </c>
      <c r="G98" s="52">
        <f>'0-1'!G98</f>
        <v>0</v>
      </c>
      <c r="H98" s="118">
        <f>'0-1'!H98</f>
        <v>0</v>
      </c>
      <c r="I98" s="178">
        <f>'0-1'!I98</f>
        <v>0</v>
      </c>
      <c r="J98" s="178"/>
      <c r="K98" s="118">
        <f>'0-1'!K98</f>
        <v>0</v>
      </c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.75" customHeight="1">
      <c r="A99" s="3"/>
      <c r="B99" s="21" t="s">
        <v>114</v>
      </c>
      <c r="C99" s="138" t="s">
        <v>115</v>
      </c>
      <c r="D99" s="138"/>
      <c r="E99" s="52">
        <f>'0-1'!E99</f>
        <v>8.3333333333333329E-2</v>
      </c>
      <c r="F99" s="52" t="str">
        <f>'0-1'!F99</f>
        <v>Taxa</v>
      </c>
      <c r="G99" s="52">
        <f>'0-1'!G99</f>
        <v>0</v>
      </c>
      <c r="H99" s="118">
        <f>'0-1'!H99</f>
        <v>0</v>
      </c>
      <c r="I99" s="178">
        <f>'0-1'!I99</f>
        <v>0</v>
      </c>
      <c r="J99" s="178"/>
      <c r="K99" s="118">
        <f>'0-1'!K99</f>
        <v>0</v>
      </c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2.75" customHeight="1">
      <c r="A100" s="3"/>
      <c r="B100" s="21"/>
      <c r="C100" s="146" t="s">
        <v>39</v>
      </c>
      <c r="D100" s="146"/>
      <c r="E100" s="146"/>
      <c r="F100" s="146"/>
      <c r="G100" s="146"/>
      <c r="H100" s="146"/>
      <c r="I100" s="146"/>
      <c r="J100" s="146"/>
      <c r="K100" s="25">
        <f>SUM(K96:K99)</f>
        <v>0</v>
      </c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2.75" customHeight="1">
      <c r="A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 ht="12.75" customHeight="1">
      <c r="A102" s="3"/>
      <c r="B102" s="50" t="s">
        <v>37</v>
      </c>
      <c r="C102" s="152" t="s">
        <v>116</v>
      </c>
      <c r="D102" s="152"/>
      <c r="E102" s="6" t="s">
        <v>117</v>
      </c>
      <c r="F102" s="56" t="s">
        <v>118</v>
      </c>
      <c r="G102" s="56"/>
      <c r="H102" s="6" t="s">
        <v>119</v>
      </c>
      <c r="I102" s="161" t="s">
        <v>120</v>
      </c>
      <c r="J102" s="161"/>
      <c r="K102" s="162" t="s">
        <v>106</v>
      </c>
      <c r="L102" s="3"/>
      <c r="M102" s="3" t="s">
        <v>121</v>
      </c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2.75" customHeight="1">
      <c r="A103" s="3"/>
      <c r="B103" s="57"/>
      <c r="C103" s="18" t="s">
        <v>122</v>
      </c>
      <c r="D103" s="18" t="s">
        <v>123</v>
      </c>
      <c r="E103" s="60"/>
      <c r="F103" s="119">
        <f>'0-1'!F103</f>
        <v>0.15</v>
      </c>
      <c r="G103" s="119"/>
      <c r="H103" s="53" t="s">
        <v>124</v>
      </c>
      <c r="I103" s="161"/>
      <c r="J103" s="161"/>
      <c r="K103" s="162"/>
      <c r="L103" s="3" t="s">
        <v>125</v>
      </c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2.75" customHeight="1">
      <c r="A104" s="4">
        <v>2024</v>
      </c>
      <c r="B104" s="21" t="s">
        <v>67</v>
      </c>
      <c r="C104" s="57" t="s">
        <v>126</v>
      </c>
      <c r="D104" s="58">
        <f>(1-F103)*((10-0)/(1+2+3+4+5+6+7+8+9+10))</f>
        <v>0.15454545454545454</v>
      </c>
      <c r="E104" s="59">
        <f>'0-1'!E104</f>
        <v>456379</v>
      </c>
      <c r="F104" s="60">
        <f t="shared" ref="F104:F114" si="2">E104*$F$103</f>
        <v>68456.849999999991</v>
      </c>
      <c r="G104" s="60"/>
      <c r="H104" s="60">
        <f t="shared" ref="H104:H114" si="3">(E104-F104)</f>
        <v>387922.15</v>
      </c>
      <c r="I104" s="146"/>
      <c r="J104" s="146"/>
      <c r="K104" s="25">
        <f t="shared" ref="K104:K114" si="4">((H104*D104)*I104)/12</f>
        <v>0</v>
      </c>
      <c r="L104" s="61">
        <f>(10-0)/(1+2+3+4+5+6+7+8+9+10)</f>
        <v>0.18181818181818182</v>
      </c>
      <c r="M104" s="3">
        <f t="shared" ref="M104:M114" si="5">85*L104</f>
        <v>15.454545454545455</v>
      </c>
      <c r="N104" s="4">
        <v>215082</v>
      </c>
      <c r="O104" s="4" t="s">
        <v>273</v>
      </c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2.75" customHeight="1">
      <c r="A105" s="4">
        <v>2023</v>
      </c>
      <c r="B105" s="21" t="s">
        <v>69</v>
      </c>
      <c r="C105" s="57" t="s">
        <v>128</v>
      </c>
      <c r="D105" s="58">
        <f>(1-0.15)*((10-1)/(1+2+3+4+5+6+7+8+9+10))</f>
        <v>0.1390909090909091</v>
      </c>
      <c r="E105" s="59">
        <f>'0-1'!E105</f>
        <v>406774</v>
      </c>
      <c r="F105" s="60">
        <f t="shared" si="2"/>
        <v>61016.1</v>
      </c>
      <c r="G105" s="60"/>
      <c r="H105" s="60">
        <f t="shared" si="3"/>
        <v>345757.9</v>
      </c>
      <c r="I105" s="146"/>
      <c r="J105" s="146"/>
      <c r="K105" s="25">
        <f t="shared" si="4"/>
        <v>0</v>
      </c>
      <c r="L105" s="61">
        <f>(10-1)/(1+2+3+4+5+6+7+8+9+10)</f>
        <v>0.16363636363636364</v>
      </c>
      <c r="M105" s="3">
        <f t="shared" si="5"/>
        <v>13.909090909090908</v>
      </c>
      <c r="N105" s="4">
        <v>215082</v>
      </c>
      <c r="O105" s="4" t="s">
        <v>273</v>
      </c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2.75" customHeight="1">
      <c r="A106" s="4">
        <v>2022</v>
      </c>
      <c r="B106" s="21" t="s">
        <v>129</v>
      </c>
      <c r="C106" s="57" t="s">
        <v>130</v>
      </c>
      <c r="D106" s="58">
        <f>(1-0.15)*((10-2)/(1+2+3+4+5+6+7+8+9+10))</f>
        <v>0.12363636363636363</v>
      </c>
      <c r="E106" s="59">
        <f>'0-1'!E106</f>
        <v>353036</v>
      </c>
      <c r="F106" s="60">
        <f t="shared" si="2"/>
        <v>52955.4</v>
      </c>
      <c r="G106" s="60"/>
      <c r="H106" s="60">
        <f t="shared" si="3"/>
        <v>300080.59999999998</v>
      </c>
      <c r="I106" s="146"/>
      <c r="J106" s="146"/>
      <c r="K106" s="25">
        <f t="shared" si="4"/>
        <v>0</v>
      </c>
      <c r="L106" s="61">
        <f>(10-2)/(1+2+3+4+5+6+7+8+9+10)</f>
        <v>0.14545454545454545</v>
      </c>
      <c r="M106" s="3">
        <f t="shared" si="5"/>
        <v>12.363636363636363</v>
      </c>
      <c r="N106" s="4">
        <v>214531</v>
      </c>
      <c r="O106" s="4" t="s">
        <v>273</v>
      </c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2.75" customHeight="1">
      <c r="A107" s="4">
        <v>2021</v>
      </c>
      <c r="B107" s="21" t="s">
        <v>131</v>
      </c>
      <c r="C107" s="57" t="s">
        <v>132</v>
      </c>
      <c r="D107" s="58">
        <f>(1-0.15)*((10-3)/(1+2+3+4+5+6+7+8+9+10))</f>
        <v>0.10818181818181817</v>
      </c>
      <c r="E107" s="59">
        <f>'0-1'!E107</f>
        <v>292257</v>
      </c>
      <c r="F107" s="60">
        <f t="shared" si="2"/>
        <v>43838.549999999996</v>
      </c>
      <c r="G107" s="60"/>
      <c r="H107" s="60">
        <f t="shared" si="3"/>
        <v>248418.45</v>
      </c>
      <c r="I107" s="146"/>
      <c r="J107" s="146"/>
      <c r="K107" s="25">
        <f t="shared" si="4"/>
        <v>0</v>
      </c>
      <c r="L107" s="61">
        <f>(10-3)/(1+2+3+4+5+6+7+8+9+10)</f>
        <v>0.12727272727272726</v>
      </c>
      <c r="M107" s="3">
        <f t="shared" si="5"/>
        <v>10.818181818181817</v>
      </c>
      <c r="N107" s="4">
        <v>214531</v>
      </c>
      <c r="O107" s="4" t="s">
        <v>273</v>
      </c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2.75" customHeight="1">
      <c r="A108" s="4">
        <v>2020</v>
      </c>
      <c r="B108" s="21" t="s">
        <v>133</v>
      </c>
      <c r="C108" s="57" t="s">
        <v>134</v>
      </c>
      <c r="D108" s="58">
        <f>(1-0.15)*((10-4)/(1+2+3+4+5+6+7+8+9+10))</f>
        <v>9.2727272727272714E-2</v>
      </c>
      <c r="E108" s="59">
        <f>'0-1'!E108</f>
        <v>244304</v>
      </c>
      <c r="F108" s="60">
        <f t="shared" si="2"/>
        <v>36645.599999999999</v>
      </c>
      <c r="G108" s="60"/>
      <c r="H108" s="60">
        <f t="shared" si="3"/>
        <v>207658.4</v>
      </c>
      <c r="I108" s="146"/>
      <c r="J108" s="146"/>
      <c r="K108" s="25">
        <f t="shared" si="4"/>
        <v>0</v>
      </c>
      <c r="L108" s="61">
        <f>(10-4)/(1+2+3+4+5+6+7+8+9+10)</f>
        <v>0.10909090909090909</v>
      </c>
      <c r="M108" s="3">
        <f t="shared" si="5"/>
        <v>9.2727272727272716</v>
      </c>
      <c r="N108" s="4">
        <v>214531</v>
      </c>
      <c r="O108" s="4" t="s">
        <v>273</v>
      </c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2.75" customHeight="1">
      <c r="A109" s="4">
        <v>2019</v>
      </c>
      <c r="B109" s="21" t="s">
        <v>135</v>
      </c>
      <c r="C109" s="57" t="s">
        <v>136</v>
      </c>
      <c r="D109" s="58">
        <f>(1-0.15)*((10-5)/(1+2+3+4+5+6+7+8+9+10))</f>
        <v>7.7272727272727271E-2</v>
      </c>
      <c r="E109" s="59">
        <f>'0-1'!E109</f>
        <v>214894</v>
      </c>
      <c r="F109" s="60">
        <f t="shared" si="2"/>
        <v>32234.1</v>
      </c>
      <c r="G109" s="60"/>
      <c r="H109" s="60">
        <f t="shared" si="3"/>
        <v>182659.9</v>
      </c>
      <c r="I109" s="146"/>
      <c r="J109" s="146"/>
      <c r="K109" s="25">
        <f t="shared" si="4"/>
        <v>0</v>
      </c>
      <c r="L109" s="61">
        <f>(10-5)/(1+2+3+4+5+6+7+8+9+10)</f>
        <v>9.0909090909090912E-2</v>
      </c>
      <c r="M109" s="3">
        <f t="shared" si="5"/>
        <v>7.7272727272727275</v>
      </c>
      <c r="N109" s="4">
        <v>212725</v>
      </c>
      <c r="O109" s="4" t="s">
        <v>274</v>
      </c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2.75" customHeight="1">
      <c r="A110" s="4">
        <v>2018</v>
      </c>
      <c r="B110" s="21" t="s">
        <v>137</v>
      </c>
      <c r="C110" s="57" t="s">
        <v>138</v>
      </c>
      <c r="D110" s="58">
        <f>(1-0.15)*((10-6)/(1+2+3+4+5+6+7+8+9+10))</f>
        <v>6.1818181818181814E-2</v>
      </c>
      <c r="E110" s="59">
        <f>'0-1'!E110</f>
        <v>186229</v>
      </c>
      <c r="F110" s="60">
        <f t="shared" si="2"/>
        <v>27934.35</v>
      </c>
      <c r="G110" s="60"/>
      <c r="H110" s="60">
        <f t="shared" si="3"/>
        <v>158294.65</v>
      </c>
      <c r="I110" s="146"/>
      <c r="J110" s="146"/>
      <c r="K110" s="25">
        <f t="shared" si="4"/>
        <v>0</v>
      </c>
      <c r="L110" s="61">
        <f>(10-6)/(1+2+3+4+5+6+7+8+9+10)</f>
        <v>7.2727272727272724E-2</v>
      </c>
      <c r="M110" s="3">
        <f t="shared" si="5"/>
        <v>6.1818181818181817</v>
      </c>
      <c r="N110" s="4">
        <v>212725</v>
      </c>
      <c r="O110" s="4" t="s">
        <v>274</v>
      </c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2.75" customHeight="1">
      <c r="A111" s="4">
        <v>2017</v>
      </c>
      <c r="B111" s="21" t="s">
        <v>139</v>
      </c>
      <c r="C111" s="57" t="s">
        <v>140</v>
      </c>
      <c r="D111" s="58">
        <f>(1-0.15)*((10-7)/(1+2+3+4+5+6+7+8+9+10))</f>
        <v>4.6363636363636357E-2</v>
      </c>
      <c r="E111" s="59">
        <f>'0-1'!E111</f>
        <v>167870</v>
      </c>
      <c r="F111" s="60">
        <f t="shared" si="2"/>
        <v>25180.5</v>
      </c>
      <c r="G111" s="60"/>
      <c r="H111" s="60">
        <f t="shared" si="3"/>
        <v>142689.5</v>
      </c>
      <c r="I111" s="146"/>
      <c r="J111" s="146"/>
      <c r="K111" s="25">
        <f t="shared" si="4"/>
        <v>0</v>
      </c>
      <c r="L111" s="61">
        <f>(10-7)/(1+2+3+4+5+6+7+8+9+10)</f>
        <v>5.4545454545454543E-2</v>
      </c>
      <c r="M111" s="3">
        <f t="shared" si="5"/>
        <v>4.6363636363636358</v>
      </c>
      <c r="N111" s="4">
        <v>212725</v>
      </c>
      <c r="O111" s="4" t="s">
        <v>274</v>
      </c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 ht="12.75" customHeight="1">
      <c r="A112" s="4">
        <v>2016</v>
      </c>
      <c r="B112" s="21" t="s">
        <v>141</v>
      </c>
      <c r="C112" s="57" t="s">
        <v>142</v>
      </c>
      <c r="D112" s="58">
        <f>(1-0.15)*((10-8)/(1+2+3+4+5+6+7+8+9+10))</f>
        <v>3.0909090909090907E-2</v>
      </c>
      <c r="E112" s="59">
        <f>'0-1'!E112</f>
        <v>158776</v>
      </c>
      <c r="F112" s="60">
        <f t="shared" si="2"/>
        <v>23816.399999999998</v>
      </c>
      <c r="G112" s="60"/>
      <c r="H112" s="60">
        <f t="shared" si="3"/>
        <v>134959.6</v>
      </c>
      <c r="I112" s="146"/>
      <c r="J112" s="146"/>
      <c r="K112" s="25">
        <f t="shared" si="4"/>
        <v>0</v>
      </c>
      <c r="L112" s="61">
        <f>(10-8)/(1+2+3+4+5+6+7+8+9+10)</f>
        <v>3.6363636363636362E-2</v>
      </c>
      <c r="M112" s="3">
        <f t="shared" si="5"/>
        <v>3.0909090909090908</v>
      </c>
      <c r="N112" s="4">
        <v>212725</v>
      </c>
      <c r="O112" s="4" t="s">
        <v>274</v>
      </c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2.75" customHeight="1">
      <c r="A113" s="4">
        <v>2015</v>
      </c>
      <c r="B113" s="21" t="s">
        <v>143</v>
      </c>
      <c r="C113" s="57" t="s">
        <v>144</v>
      </c>
      <c r="D113" s="58">
        <f>(1-0.15)*((10-9)/(1+2+3+4+5+6+7+8+9+10))</f>
        <v>1.5454545454545453E-2</v>
      </c>
      <c r="E113" s="59">
        <f>'0-1'!E113</f>
        <v>153210</v>
      </c>
      <c r="F113" s="60">
        <f t="shared" si="2"/>
        <v>22981.5</v>
      </c>
      <c r="G113" s="60"/>
      <c r="H113" s="60">
        <f t="shared" si="3"/>
        <v>130228.5</v>
      </c>
      <c r="I113" s="146"/>
      <c r="J113" s="146"/>
      <c r="K113" s="25">
        <f t="shared" si="4"/>
        <v>0</v>
      </c>
      <c r="L113" s="61">
        <f>(10-9)/(1+2+3+4+5+6+7+8+9+10)</f>
        <v>1.8181818181818181E-2</v>
      </c>
      <c r="M113" s="3">
        <f t="shared" si="5"/>
        <v>1.5454545454545454</v>
      </c>
      <c r="N113" s="4">
        <v>212725</v>
      </c>
      <c r="O113" s="4" t="s">
        <v>274</v>
      </c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 ht="12.75" customHeight="1">
      <c r="A114" s="4">
        <v>2014</v>
      </c>
      <c r="B114" s="21" t="s">
        <v>145</v>
      </c>
      <c r="C114" s="57" t="s">
        <v>146</v>
      </c>
      <c r="D114" s="58">
        <f>(1-0.15)*((10-10)/(1+2+3+4+5+6+7+8+9+10))</f>
        <v>0</v>
      </c>
      <c r="E114" s="59">
        <f>'0-1'!E114</f>
        <v>143651</v>
      </c>
      <c r="F114" s="60">
        <f t="shared" si="2"/>
        <v>21547.649999999998</v>
      </c>
      <c r="G114" s="60"/>
      <c r="H114" s="60">
        <f t="shared" si="3"/>
        <v>122103.35</v>
      </c>
      <c r="I114" s="155"/>
      <c r="J114" s="155"/>
      <c r="K114" s="25">
        <f t="shared" si="4"/>
        <v>0</v>
      </c>
      <c r="L114" s="61">
        <f>(10-10)/(1+2+3+4+5+6+7+8+9+10)</f>
        <v>0</v>
      </c>
      <c r="M114" s="3">
        <f t="shared" si="5"/>
        <v>0</v>
      </c>
      <c r="N114" s="4">
        <v>212725</v>
      </c>
      <c r="O114" s="4" t="s">
        <v>274</v>
      </c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 ht="15" customHeight="1">
      <c r="A115" s="3"/>
      <c r="B115" s="18"/>
      <c r="C115" s="146" t="s">
        <v>39</v>
      </c>
      <c r="D115" s="146"/>
      <c r="E115" s="146"/>
      <c r="F115" s="146"/>
      <c r="G115" s="146"/>
      <c r="H115" s="146"/>
      <c r="I115" s="146"/>
      <c r="J115" s="146"/>
      <c r="K115" s="25">
        <f>SUM(K104:K114)</f>
        <v>0</v>
      </c>
      <c r="L115" s="61">
        <f>SUM(L104:L114)</f>
        <v>1</v>
      </c>
      <c r="M115" s="3">
        <f>SUM(M104:M114)</f>
        <v>85.000000000000014</v>
      </c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2.75" customHeight="1">
      <c r="A116" s="3"/>
      <c r="B116" s="157" t="s">
        <v>147</v>
      </c>
      <c r="C116" s="157"/>
      <c r="D116" s="157"/>
      <c r="E116" s="157"/>
      <c r="F116" s="157"/>
      <c r="G116" s="157"/>
      <c r="H116" s="157"/>
      <c r="I116" s="157"/>
      <c r="J116" s="157"/>
      <c r="K116" s="157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5" customHeight="1">
      <c r="A117" s="17"/>
      <c r="L117" s="3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</row>
    <row r="118" spans="1:27" ht="15" customHeight="1">
      <c r="A118" s="17"/>
      <c r="B118" s="50" t="s">
        <v>46</v>
      </c>
      <c r="C118" s="152" t="s">
        <v>148</v>
      </c>
      <c r="D118" s="152"/>
      <c r="E118" s="6" t="s">
        <v>117</v>
      </c>
      <c r="F118" s="158" t="s">
        <v>149</v>
      </c>
      <c r="G118" s="158"/>
      <c r="H118" s="158"/>
      <c r="I118" s="153" t="s">
        <v>105</v>
      </c>
      <c r="J118" s="153"/>
      <c r="K118" s="19" t="s">
        <v>106</v>
      </c>
      <c r="L118" s="3"/>
      <c r="M118" s="3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</row>
    <row r="119" spans="1:27" ht="15" customHeight="1">
      <c r="A119" s="17"/>
      <c r="B119" s="57"/>
      <c r="C119" s="18" t="s">
        <v>122</v>
      </c>
      <c r="D119" s="18"/>
      <c r="E119" s="60"/>
      <c r="F119" s="177">
        <f>'0-1'!F119</f>
        <v>0.105</v>
      </c>
      <c r="G119" s="177"/>
      <c r="H119" s="177"/>
      <c r="I119" s="160" t="s">
        <v>150</v>
      </c>
      <c r="J119" s="160"/>
      <c r="K119" s="23"/>
      <c r="L119" s="62" t="s">
        <v>151</v>
      </c>
      <c r="M119" s="63" t="s">
        <v>152</v>
      </c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</row>
    <row r="120" spans="1:27" ht="15" customHeight="1">
      <c r="A120" s="17"/>
      <c r="B120" s="21" t="s">
        <v>153</v>
      </c>
      <c r="C120" s="57" t="s">
        <v>126</v>
      </c>
      <c r="D120" s="58">
        <f>F119</f>
        <v>0.105</v>
      </c>
      <c r="E120" s="60">
        <f t="shared" ref="E120:E130" si="6">E104</f>
        <v>456379</v>
      </c>
      <c r="F120" s="156">
        <f t="shared" ref="F120:F130" si="7">I104</f>
        <v>0</v>
      </c>
      <c r="G120" s="156"/>
      <c r="H120" s="156"/>
      <c r="I120" s="156"/>
      <c r="J120" s="156"/>
      <c r="K120" s="25">
        <f t="shared" ref="K120:K130" si="8">(D120*E120*F120)/12</f>
        <v>0</v>
      </c>
      <c r="L120" s="62" t="s">
        <v>154</v>
      </c>
      <c r="M120" s="3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</row>
    <row r="121" spans="1:27" ht="15" customHeight="1">
      <c r="A121" s="17"/>
      <c r="B121" s="21" t="s">
        <v>155</v>
      </c>
      <c r="C121" s="57" t="s">
        <v>128</v>
      </c>
      <c r="D121" s="58">
        <f>($F$119)*(1-D104)</f>
        <v>8.8772727272727267E-2</v>
      </c>
      <c r="E121" s="60">
        <f t="shared" si="6"/>
        <v>406774</v>
      </c>
      <c r="F121" s="156">
        <f t="shared" si="7"/>
        <v>0</v>
      </c>
      <c r="G121" s="156"/>
      <c r="H121" s="156"/>
      <c r="I121" s="156"/>
      <c r="J121" s="156"/>
      <c r="K121" s="25">
        <f t="shared" si="8"/>
        <v>0</v>
      </c>
      <c r="L121" s="64">
        <v>45462</v>
      </c>
      <c r="M121" s="3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</row>
    <row r="122" spans="1:27" ht="15" customHeight="1">
      <c r="A122" s="17"/>
      <c r="B122" s="21" t="s">
        <v>156</v>
      </c>
      <c r="C122" s="57" t="s">
        <v>130</v>
      </c>
      <c r="D122" s="58">
        <f>($F$119)*(1-(D104+D105))</f>
        <v>7.4168181818181814E-2</v>
      </c>
      <c r="E122" s="60">
        <f t="shared" si="6"/>
        <v>353036</v>
      </c>
      <c r="F122" s="156">
        <f t="shared" si="7"/>
        <v>0</v>
      </c>
      <c r="G122" s="156"/>
      <c r="H122" s="156"/>
      <c r="I122" s="156"/>
      <c r="J122" s="156"/>
      <c r="K122" s="25">
        <f t="shared" si="8"/>
        <v>0</v>
      </c>
      <c r="L122" s="61"/>
      <c r="M122" s="3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</row>
    <row r="123" spans="1:27" ht="15" customHeight="1">
      <c r="A123" s="17"/>
      <c r="B123" s="21" t="s">
        <v>157</v>
      </c>
      <c r="C123" s="57" t="s">
        <v>132</v>
      </c>
      <c r="D123" s="58">
        <f>($F$119)*(1-(D104+D105+D106))</f>
        <v>6.1186363636363636E-2</v>
      </c>
      <c r="E123" s="60">
        <f t="shared" si="6"/>
        <v>292257</v>
      </c>
      <c r="F123" s="156">
        <f t="shared" si="7"/>
        <v>0</v>
      </c>
      <c r="G123" s="156"/>
      <c r="H123" s="156"/>
      <c r="I123" s="156"/>
      <c r="J123" s="156"/>
      <c r="K123" s="25">
        <f t="shared" si="8"/>
        <v>0</v>
      </c>
      <c r="L123" s="61"/>
      <c r="M123" s="3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</row>
    <row r="124" spans="1:27" ht="15" customHeight="1">
      <c r="A124" s="17"/>
      <c r="B124" s="21" t="s">
        <v>158</v>
      </c>
      <c r="C124" s="57" t="s">
        <v>134</v>
      </c>
      <c r="D124" s="58">
        <f>($F$119)*(1-(D104+D105+D106+D107))</f>
        <v>4.9827272727272734E-2</v>
      </c>
      <c r="E124" s="60">
        <f t="shared" si="6"/>
        <v>244304</v>
      </c>
      <c r="F124" s="156">
        <f t="shared" si="7"/>
        <v>0</v>
      </c>
      <c r="G124" s="156"/>
      <c r="H124" s="156"/>
      <c r="I124" s="156"/>
      <c r="J124" s="156"/>
      <c r="K124" s="25">
        <f t="shared" si="8"/>
        <v>0</v>
      </c>
      <c r="L124" s="61"/>
      <c r="M124" s="3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</row>
    <row r="125" spans="1:27" ht="15" customHeight="1">
      <c r="A125" s="17"/>
      <c r="B125" s="21" t="s">
        <v>159</v>
      </c>
      <c r="C125" s="57" t="s">
        <v>136</v>
      </c>
      <c r="D125" s="58">
        <f>($F$119)*(1-(D104+D105+D106+D107+D108))</f>
        <v>4.0090909090909094E-2</v>
      </c>
      <c r="E125" s="60">
        <f t="shared" si="6"/>
        <v>214894</v>
      </c>
      <c r="F125" s="156">
        <f t="shared" si="7"/>
        <v>0</v>
      </c>
      <c r="G125" s="156"/>
      <c r="H125" s="156"/>
      <c r="I125" s="156"/>
      <c r="J125" s="156"/>
      <c r="K125" s="25">
        <f t="shared" si="8"/>
        <v>0</v>
      </c>
      <c r="L125" s="61"/>
      <c r="M125" s="3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</row>
    <row r="126" spans="1:27" ht="15" customHeight="1">
      <c r="A126" s="17"/>
      <c r="B126" s="21" t="s">
        <v>160</v>
      </c>
      <c r="C126" s="57" t="s">
        <v>138</v>
      </c>
      <c r="D126" s="58">
        <f>($F$119)*(1-(D104+D105+D106+D107+D108+D109))</f>
        <v>3.1977272727272729E-2</v>
      </c>
      <c r="E126" s="60">
        <f t="shared" si="6"/>
        <v>186229</v>
      </c>
      <c r="F126" s="156">
        <f t="shared" si="7"/>
        <v>0</v>
      </c>
      <c r="G126" s="156"/>
      <c r="H126" s="156"/>
      <c r="I126" s="156"/>
      <c r="J126" s="156"/>
      <c r="K126" s="25">
        <f t="shared" si="8"/>
        <v>0</v>
      </c>
      <c r="L126" s="61"/>
      <c r="M126" s="3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</row>
    <row r="127" spans="1:27" ht="15" customHeight="1">
      <c r="A127" s="17"/>
      <c r="B127" s="21" t="s">
        <v>161</v>
      </c>
      <c r="C127" s="57" t="s">
        <v>140</v>
      </c>
      <c r="D127" s="58">
        <f>($F$119)*(1-(D104+D105+D106+D107+D108+D109+D110))</f>
        <v>2.5486363636363644E-2</v>
      </c>
      <c r="E127" s="60">
        <f t="shared" si="6"/>
        <v>167870</v>
      </c>
      <c r="F127" s="156">
        <f t="shared" si="7"/>
        <v>0</v>
      </c>
      <c r="G127" s="156"/>
      <c r="H127" s="156"/>
      <c r="I127" s="156"/>
      <c r="J127" s="156"/>
      <c r="K127" s="25">
        <f t="shared" si="8"/>
        <v>0</v>
      </c>
      <c r="L127" s="61"/>
      <c r="M127" s="3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</row>
    <row r="128" spans="1:27" ht="15" customHeight="1">
      <c r="A128" s="17"/>
      <c r="B128" s="21" t="s">
        <v>162</v>
      </c>
      <c r="C128" s="57" t="s">
        <v>142</v>
      </c>
      <c r="D128" s="58">
        <f>($F$119)*(1-(D104+D105+D106+D107+D108+D109+D110+D111))</f>
        <v>2.061818181818182E-2</v>
      </c>
      <c r="E128" s="60">
        <f t="shared" si="6"/>
        <v>158776</v>
      </c>
      <c r="F128" s="156">
        <f t="shared" si="7"/>
        <v>0</v>
      </c>
      <c r="G128" s="156"/>
      <c r="H128" s="156"/>
      <c r="I128" s="156"/>
      <c r="J128" s="156"/>
      <c r="K128" s="25">
        <f t="shared" si="8"/>
        <v>0</v>
      </c>
      <c r="L128" s="61"/>
      <c r="M128" s="3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</row>
    <row r="129" spans="1:27" ht="15" customHeight="1">
      <c r="A129" s="17"/>
      <c r="B129" s="21" t="s">
        <v>163</v>
      </c>
      <c r="C129" s="57" t="s">
        <v>144</v>
      </c>
      <c r="D129" s="58">
        <f>($F$119)*(1-(D104+D105+D106+D107+D108+D109+D110+D111+D112))</f>
        <v>1.7372727272727279E-2</v>
      </c>
      <c r="E129" s="60">
        <f t="shared" si="6"/>
        <v>153210</v>
      </c>
      <c r="F129" s="156">
        <f t="shared" si="7"/>
        <v>0</v>
      </c>
      <c r="G129" s="156"/>
      <c r="H129" s="156"/>
      <c r="I129" s="156"/>
      <c r="J129" s="156"/>
      <c r="K129" s="25">
        <f t="shared" si="8"/>
        <v>0</v>
      </c>
      <c r="L129" s="61"/>
      <c r="M129" s="3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</row>
    <row r="130" spans="1:27" ht="15" customHeight="1">
      <c r="A130" s="17"/>
      <c r="B130" s="21" t="s">
        <v>164</v>
      </c>
      <c r="C130" s="57" t="s">
        <v>146</v>
      </c>
      <c r="D130" s="58">
        <f>($F$119)*(1-(D104+D105+D106+D107+D108+D109+D110+D111+D112+D113))</f>
        <v>1.575E-2</v>
      </c>
      <c r="E130" s="60">
        <f t="shared" si="6"/>
        <v>143651</v>
      </c>
      <c r="F130" s="156">
        <f t="shared" si="7"/>
        <v>0</v>
      </c>
      <c r="G130" s="156"/>
      <c r="H130" s="156"/>
      <c r="I130" s="156"/>
      <c r="J130" s="156"/>
      <c r="K130" s="25">
        <f t="shared" si="8"/>
        <v>0</v>
      </c>
      <c r="L130" s="61"/>
      <c r="M130" s="3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</row>
    <row r="131" spans="1:27" ht="15" customHeight="1">
      <c r="A131" s="17"/>
      <c r="B131" s="21"/>
      <c r="C131" s="146" t="s">
        <v>39</v>
      </c>
      <c r="D131" s="146"/>
      <c r="E131" s="146"/>
      <c r="F131" s="146"/>
      <c r="G131" s="146"/>
      <c r="H131" s="146"/>
      <c r="I131" s="146"/>
      <c r="J131" s="146"/>
      <c r="K131" s="25">
        <f>SUM(K120:K130)</f>
        <v>0</v>
      </c>
      <c r="L131" s="65"/>
      <c r="M131" s="34">
        <f>K131+K115</f>
        <v>0</v>
      </c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</row>
    <row r="132" spans="1:27" ht="15" customHeight="1">
      <c r="A132" s="3"/>
      <c r="L132" s="3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</row>
    <row r="133" spans="1:27" ht="15" customHeight="1">
      <c r="A133" s="17"/>
      <c r="B133" s="50" t="s">
        <v>48</v>
      </c>
      <c r="C133" s="154" t="s">
        <v>165</v>
      </c>
      <c r="D133" s="154"/>
      <c r="E133" s="6" t="s">
        <v>166</v>
      </c>
      <c r="F133" s="6" t="s">
        <v>167</v>
      </c>
      <c r="G133" s="6"/>
      <c r="H133" s="6" t="s">
        <v>168</v>
      </c>
      <c r="I133" s="153" t="s">
        <v>169</v>
      </c>
      <c r="J133" s="153"/>
      <c r="K133" s="19" t="s">
        <v>106</v>
      </c>
      <c r="L133" s="3">
        <f>E134*F134</f>
        <v>2240</v>
      </c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</row>
    <row r="134" spans="1:27" ht="12.75" customHeight="1">
      <c r="A134" s="3"/>
      <c r="B134" s="21" t="s">
        <v>170</v>
      </c>
      <c r="C134" s="138" t="s">
        <v>171</v>
      </c>
      <c r="D134" s="138"/>
      <c r="E134" s="53">
        <v>112</v>
      </c>
      <c r="F134" s="11">
        <f>'0-1'!F134</f>
        <v>20</v>
      </c>
      <c r="G134" s="11"/>
      <c r="H134" s="86">
        <f>'0-1'!H134</f>
        <v>0</v>
      </c>
      <c r="I134" s="146">
        <f>'0-1'!I134</f>
        <v>0</v>
      </c>
      <c r="J134" s="146"/>
      <c r="K134" s="23" t="e">
        <f>(H134*F134*E134)/I134</f>
        <v>#DIV/0!</v>
      </c>
      <c r="L134" s="67" t="s">
        <v>172</v>
      </c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2.75" customHeight="1">
      <c r="A135" s="3"/>
      <c r="B135" s="21"/>
      <c r="C135" s="146" t="s">
        <v>39</v>
      </c>
      <c r="D135" s="146"/>
      <c r="E135" s="146"/>
      <c r="F135" s="146"/>
      <c r="G135" s="146"/>
      <c r="H135" s="146"/>
      <c r="I135" s="146"/>
      <c r="J135" s="146"/>
      <c r="K135" s="25" t="e">
        <f>SUM(K134)</f>
        <v>#DIV/0!</v>
      </c>
      <c r="L135" s="68" t="s">
        <v>173</v>
      </c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2.75" customHeight="1">
      <c r="A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2.75" customHeight="1">
      <c r="A137" s="3"/>
      <c r="B137" s="50" t="s">
        <v>50</v>
      </c>
      <c r="C137" s="152" t="s">
        <v>174</v>
      </c>
      <c r="D137" s="152"/>
      <c r="E137" s="6" t="s">
        <v>102</v>
      </c>
      <c r="F137" s="56" t="s">
        <v>103</v>
      </c>
      <c r="G137" s="56"/>
      <c r="H137" s="6" t="s">
        <v>175</v>
      </c>
      <c r="I137" s="153" t="s">
        <v>105</v>
      </c>
      <c r="J137" s="153"/>
      <c r="K137" s="19" t="s">
        <v>106</v>
      </c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12.75" customHeight="1">
      <c r="A138" s="3"/>
      <c r="B138" s="21" t="s">
        <v>176</v>
      </c>
      <c r="C138" s="138" t="s">
        <v>177</v>
      </c>
      <c r="D138" s="138"/>
      <c r="E138" s="18">
        <f>'0-1'!E138</f>
        <v>1</v>
      </c>
      <c r="F138" s="18" t="s">
        <v>178</v>
      </c>
      <c r="G138" s="18"/>
      <c r="H138" s="69">
        <f>'0-1'!H138</f>
        <v>0</v>
      </c>
      <c r="I138" s="146">
        <f>'0-1'!I138</f>
        <v>0</v>
      </c>
      <c r="J138" s="146"/>
      <c r="K138" s="23">
        <f>H138*E138</f>
        <v>0</v>
      </c>
      <c r="M138" s="2" t="s">
        <v>179</v>
      </c>
      <c r="O138" s="3"/>
      <c r="P138" s="3"/>
      <c r="Q138" s="70">
        <v>1900</v>
      </c>
      <c r="R138" s="3" t="s">
        <v>180</v>
      </c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12.75" customHeight="1">
      <c r="A139" s="3"/>
      <c r="B139" s="21" t="s">
        <v>181</v>
      </c>
      <c r="C139" s="138" t="s">
        <v>182</v>
      </c>
      <c r="D139" s="138"/>
      <c r="E139" s="18">
        <f>'0-1'!E139</f>
        <v>4</v>
      </c>
      <c r="F139" s="18" t="s">
        <v>178</v>
      </c>
      <c r="G139" s="18"/>
      <c r="H139" s="69">
        <f>'0-1'!H139</f>
        <v>0</v>
      </c>
      <c r="I139" s="146">
        <f>'0-1'!I139</f>
        <v>0</v>
      </c>
      <c r="J139" s="146"/>
      <c r="K139" s="23">
        <f>H139*E139</f>
        <v>0</v>
      </c>
      <c r="L139" s="3" t="s">
        <v>183</v>
      </c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12" customHeight="1">
      <c r="A140" s="3"/>
      <c r="B140" s="21" t="s">
        <v>184</v>
      </c>
      <c r="C140" s="138" t="s">
        <v>275</v>
      </c>
      <c r="D140" s="138"/>
      <c r="E140" s="18">
        <f>'0-1'!E140</f>
        <v>6</v>
      </c>
      <c r="F140" s="18" t="s">
        <v>186</v>
      </c>
      <c r="G140" s="18"/>
      <c r="H140" s="69">
        <f>'0-1'!H140</f>
        <v>0</v>
      </c>
      <c r="I140" s="146">
        <f>'0-1'!I140</f>
        <v>0</v>
      </c>
      <c r="J140" s="146"/>
      <c r="K140" s="23">
        <f>(H140*E140)/12</f>
        <v>0</v>
      </c>
      <c r="L140" s="3" t="s">
        <v>187</v>
      </c>
      <c r="M140" s="2" t="s">
        <v>276</v>
      </c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"/>
      <c r="B141" s="21"/>
      <c r="C141" s="146" t="s">
        <v>39</v>
      </c>
      <c r="D141" s="146"/>
      <c r="E141" s="146"/>
      <c r="F141" s="146"/>
      <c r="G141" s="146"/>
      <c r="H141" s="146"/>
      <c r="I141" s="146"/>
      <c r="J141" s="146"/>
      <c r="K141" s="25">
        <f>SUM(K138:K140)</f>
        <v>0</v>
      </c>
      <c r="L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2.75" customHeight="1">
      <c r="A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 ht="12.75" customHeight="1">
      <c r="A143" s="3"/>
      <c r="B143" s="50" t="s">
        <v>52</v>
      </c>
      <c r="C143" s="152" t="s">
        <v>189</v>
      </c>
      <c r="D143" s="152"/>
      <c r="E143" s="6" t="s">
        <v>102</v>
      </c>
      <c r="F143" s="56" t="s">
        <v>103</v>
      </c>
      <c r="G143" s="56"/>
      <c r="H143" s="6" t="s">
        <v>175</v>
      </c>
      <c r="I143" s="153" t="s">
        <v>105</v>
      </c>
      <c r="J143" s="153"/>
      <c r="K143" s="19" t="s">
        <v>106</v>
      </c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 ht="12.75" customHeight="1">
      <c r="A144" s="3"/>
      <c r="B144" s="21" t="s">
        <v>190</v>
      </c>
      <c r="C144" s="138" t="s">
        <v>191</v>
      </c>
      <c r="D144" s="138"/>
      <c r="E144" s="18">
        <f>'0-1'!E144</f>
        <v>1</v>
      </c>
      <c r="F144" s="18" t="s">
        <v>178</v>
      </c>
      <c r="G144" s="18"/>
      <c r="H144" s="69">
        <f>'0-1'!H144</f>
        <v>0</v>
      </c>
      <c r="I144" s="146">
        <f>'0-1'!I144</f>
        <v>0</v>
      </c>
      <c r="J144" s="146"/>
      <c r="K144" s="23">
        <f>H144*E144</f>
        <v>0</v>
      </c>
      <c r="L144" s="3" t="s">
        <v>192</v>
      </c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 ht="12.75" customHeight="1">
      <c r="A145" s="3"/>
      <c r="B145" s="21"/>
      <c r="C145" s="146" t="s">
        <v>39</v>
      </c>
      <c r="D145" s="146"/>
      <c r="E145" s="146"/>
      <c r="F145" s="146"/>
      <c r="G145" s="146"/>
      <c r="H145" s="146"/>
      <c r="I145" s="146"/>
      <c r="J145" s="146"/>
      <c r="K145" s="25">
        <f>SUM(K144)</f>
        <v>0</v>
      </c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 ht="12.75" customHeight="1">
      <c r="A146" s="3"/>
      <c r="B146" s="142" t="s">
        <v>193</v>
      </c>
      <c r="C146" s="142"/>
      <c r="D146" s="142"/>
      <c r="E146" s="142"/>
      <c r="F146" s="142"/>
      <c r="G146" s="142"/>
      <c r="H146" s="142"/>
      <c r="I146" s="142"/>
      <c r="J146" s="142"/>
      <c r="K146" s="25" t="e">
        <f>K145+K141+K135+K131+K115+K100</f>
        <v>#DIV/0!</v>
      </c>
      <c r="L146" s="3"/>
      <c r="M146" s="26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8" customHeight="1">
      <c r="A147" s="3"/>
      <c r="B147" s="147"/>
      <c r="C147" s="147"/>
      <c r="D147" s="147"/>
      <c r="E147" s="147"/>
      <c r="F147" s="147"/>
      <c r="G147" s="147"/>
      <c r="H147" s="147"/>
      <c r="I147" s="147"/>
      <c r="J147" s="147"/>
      <c r="K147" s="147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7.25" customHeight="1">
      <c r="A148" s="3"/>
      <c r="B148" s="134" t="s">
        <v>194</v>
      </c>
      <c r="C148" s="134"/>
      <c r="D148" s="134"/>
      <c r="E148" s="134"/>
      <c r="F148" s="134"/>
      <c r="G148" s="134"/>
      <c r="H148" s="134"/>
      <c r="I148" s="134"/>
      <c r="J148" s="134"/>
      <c r="K148" s="134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"/>
      <c r="B149" s="18" t="s">
        <v>24</v>
      </c>
      <c r="C149" s="148" t="s">
        <v>195</v>
      </c>
      <c r="D149" s="148"/>
      <c r="E149" s="148"/>
      <c r="F149" s="148"/>
      <c r="G149" s="148"/>
      <c r="H149" s="148"/>
      <c r="I149" s="71"/>
      <c r="J149" s="13">
        <f>K92</f>
        <v>0</v>
      </c>
      <c r="K149" s="13"/>
      <c r="L149" s="3">
        <f>(J149+J150)/1900</f>
        <v>0</v>
      </c>
      <c r="M149" s="3">
        <f>L149*1900</f>
        <v>0</v>
      </c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2.75" customHeight="1">
      <c r="A150" s="3"/>
      <c r="B150" s="18" t="s">
        <v>37</v>
      </c>
      <c r="C150" s="149" t="s">
        <v>196</v>
      </c>
      <c r="D150" s="149"/>
      <c r="E150" s="149"/>
      <c r="F150" s="149"/>
      <c r="G150" s="149"/>
      <c r="H150" s="149"/>
      <c r="I150" s="72"/>
      <c r="J150" s="13">
        <f>K100+K115+K131+K145</f>
        <v>0</v>
      </c>
      <c r="K150" s="1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2.75" customHeight="1">
      <c r="A151" s="3"/>
      <c r="B151" s="18" t="s">
        <v>46</v>
      </c>
      <c r="C151" s="148" t="s">
        <v>197</v>
      </c>
      <c r="D151" s="148"/>
      <c r="E151" s="148"/>
      <c r="F151" s="148"/>
      <c r="G151" s="148"/>
      <c r="H151" s="148"/>
      <c r="I151" s="73"/>
      <c r="J151" s="74"/>
      <c r="K151" s="13" t="e">
        <f>K135+K141</f>
        <v>#DIV/0!</v>
      </c>
      <c r="L151" s="3" t="e">
        <f>K151/1900</f>
        <v>#DIV/0!</v>
      </c>
      <c r="M151" s="3" t="e">
        <f>L151*1000</f>
        <v>#DIV/0!</v>
      </c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2.75" customHeight="1">
      <c r="A152" s="3"/>
      <c r="B152" s="47"/>
      <c r="C152" s="150" t="s">
        <v>198</v>
      </c>
      <c r="D152" s="150"/>
      <c r="E152" s="150"/>
      <c r="F152" s="150"/>
      <c r="G152" s="150"/>
      <c r="H152" s="150"/>
      <c r="I152" s="76"/>
      <c r="J152" s="77">
        <f>SUM(J149:J151)</f>
        <v>0</v>
      </c>
      <c r="K152" s="78" t="e">
        <f>SUM(K149:K151)</f>
        <v>#DIV/0!</v>
      </c>
      <c r="L152" s="3">
        <v>717.38</v>
      </c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 ht="32.25" customHeight="1">
      <c r="A153" s="3"/>
      <c r="B153" s="147"/>
      <c r="C153" s="147"/>
      <c r="D153" s="147"/>
      <c r="E153" s="147"/>
      <c r="F153" s="147"/>
      <c r="G153" s="147"/>
      <c r="H153" s="147"/>
      <c r="I153" s="147"/>
      <c r="J153" s="147"/>
      <c r="K153" s="147"/>
      <c r="L153" s="79" t="e">
        <f>K151+L152</f>
        <v>#DIV/0!</v>
      </c>
      <c r="M153" s="80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7.25" customHeight="1">
      <c r="A154" s="3"/>
      <c r="B154" s="134" t="s">
        <v>199</v>
      </c>
      <c r="C154" s="134"/>
      <c r="D154" s="134"/>
      <c r="E154" s="134"/>
      <c r="F154" s="134"/>
      <c r="G154" s="134"/>
      <c r="H154" s="134"/>
      <c r="I154" s="134"/>
      <c r="J154" s="134"/>
      <c r="K154" s="134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 ht="12.75" customHeight="1">
      <c r="A155" s="3"/>
      <c r="B155" s="18"/>
      <c r="C155" s="143" t="s">
        <v>200</v>
      </c>
      <c r="D155" s="143"/>
      <c r="E155" s="143"/>
      <c r="F155" s="75" t="s">
        <v>35</v>
      </c>
      <c r="G155" s="142" t="s">
        <v>201</v>
      </c>
      <c r="H155" s="135" t="s">
        <v>202</v>
      </c>
      <c r="I155" s="135"/>
      <c r="J155" s="27" t="s">
        <v>203</v>
      </c>
      <c r="K155" s="27" t="s">
        <v>204</v>
      </c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 ht="12.75" customHeight="1">
      <c r="A156" s="3"/>
      <c r="B156" s="18" t="s">
        <v>24</v>
      </c>
      <c r="C156" s="138" t="s">
        <v>205</v>
      </c>
      <c r="D156" s="138"/>
      <c r="E156" s="138"/>
      <c r="F156" s="81">
        <f>'0-1'!F156</f>
        <v>0.05</v>
      </c>
      <c r="G156" s="142"/>
      <c r="H156" s="82">
        <f>J152</f>
        <v>0</v>
      </c>
      <c r="I156" s="83" t="e">
        <f>K152</f>
        <v>#DIV/0!</v>
      </c>
      <c r="J156" s="23">
        <f>F156*H156</f>
        <v>0</v>
      </c>
      <c r="K156" s="23" t="e">
        <f>F156*I156</f>
        <v>#DIV/0!</v>
      </c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12.75" customHeight="1">
      <c r="A157" s="3"/>
      <c r="B157" s="18" t="s">
        <v>37</v>
      </c>
      <c r="C157" s="138" t="s">
        <v>206</v>
      </c>
      <c r="D157" s="138"/>
      <c r="E157" s="138"/>
      <c r="F157" s="81">
        <f>'0-1'!F157</f>
        <v>0.1</v>
      </c>
      <c r="G157" s="142"/>
      <c r="H157" s="82">
        <f>H156+J156</f>
        <v>0</v>
      </c>
      <c r="I157" s="83" t="e">
        <f>I156+K156</f>
        <v>#DIV/0!</v>
      </c>
      <c r="J157" s="23">
        <f>F157*H157</f>
        <v>0</v>
      </c>
      <c r="K157" s="23" t="e">
        <f>F157*I157</f>
        <v>#DIV/0!</v>
      </c>
      <c r="L157" s="35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ht="37.5" customHeight="1">
      <c r="A158" s="3"/>
      <c r="B158" s="144" t="s">
        <v>46</v>
      </c>
      <c r="C158" s="138" t="str">
        <f>'0-1'!C158</f>
        <v>Tabela do Simples Nacional</v>
      </c>
      <c r="D158" s="47" t="str">
        <f>'0-1'!D158</f>
        <v>Anexo III</v>
      </c>
      <c r="E158" s="84" t="e">
        <f>#REF!</f>
        <v>#REF!</v>
      </c>
      <c r="F158" s="145" t="e">
        <f>E158</f>
        <v>#REF!</v>
      </c>
      <c r="G158" s="85" t="s">
        <v>209</v>
      </c>
      <c r="H158" s="86" t="e">
        <f>H157+J157-(E159/12)</f>
        <v>#REF!</v>
      </c>
      <c r="I158" s="86" t="e">
        <f>I157+K157</f>
        <v>#DIV/0!</v>
      </c>
      <c r="J158" s="141" t="e">
        <f>(H158/H159)*F158</f>
        <v>#REF!</v>
      </c>
      <c r="K158" s="141" t="e">
        <f>(I158/I159)*F158</f>
        <v>#DIV/0!</v>
      </c>
      <c r="L158" s="87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</row>
    <row r="159" spans="1:27" ht="12.75" customHeight="1">
      <c r="A159" s="3"/>
      <c r="B159" s="144"/>
      <c r="C159" s="138"/>
      <c r="D159" s="47" t="str">
        <f>'0-1'!D159</f>
        <v>Parcela Redutora (PR)</v>
      </c>
      <c r="E159" s="120" t="e">
        <f>#REF!</f>
        <v>#REF!</v>
      </c>
      <c r="F159" s="145"/>
      <c r="G159" s="88" t="e">
        <f>#REF!</f>
        <v>#REF!</v>
      </c>
      <c r="H159" s="121" t="e">
        <f>#REF!</f>
        <v>#REF!</v>
      </c>
      <c r="I159" s="121" t="e">
        <f>#REF!</f>
        <v>#REF!</v>
      </c>
      <c r="J159" s="141"/>
      <c r="K159" s="141"/>
      <c r="L159" s="90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51" customHeight="1">
      <c r="A160" s="91"/>
      <c r="B160" s="136" t="s">
        <v>48</v>
      </c>
      <c r="C160" s="137" t="s">
        <v>212</v>
      </c>
      <c r="D160" s="138" t="s">
        <v>213</v>
      </c>
      <c r="E160" s="139">
        <v>2.5000000000000001E-2</v>
      </c>
      <c r="F160" s="140">
        <f>E160</f>
        <v>2.5000000000000001E-2</v>
      </c>
      <c r="G160" s="31" t="s">
        <v>214</v>
      </c>
      <c r="H160" s="86" t="e">
        <f>H158+J158</f>
        <v>#REF!</v>
      </c>
      <c r="I160" s="86" t="e">
        <f>I158+K158</f>
        <v>#DIV/0!</v>
      </c>
      <c r="J160" s="141" t="e">
        <f>H160/H161*F160</f>
        <v>#REF!</v>
      </c>
      <c r="K160" s="141" t="e">
        <f>I160/I161*F160</f>
        <v>#DIV/0!</v>
      </c>
      <c r="L160" s="92"/>
      <c r="M160" s="91"/>
      <c r="N160" s="91"/>
      <c r="O160" s="91"/>
      <c r="P160" s="91"/>
      <c r="Q160" s="91"/>
      <c r="R160" s="91"/>
      <c r="S160" s="91"/>
      <c r="T160" s="91"/>
      <c r="U160" s="91"/>
      <c r="V160" s="91"/>
      <c r="W160" s="91"/>
      <c r="X160" s="91"/>
      <c r="Y160" s="91"/>
      <c r="Z160" s="91"/>
      <c r="AA160" s="91"/>
    </row>
    <row r="161" spans="1:27" ht="12.75" customHeight="1">
      <c r="A161" s="91"/>
      <c r="B161" s="136"/>
      <c r="C161" s="137"/>
      <c r="D161" s="138"/>
      <c r="E161" s="138"/>
      <c r="F161" s="138"/>
      <c r="G161" s="88" t="s">
        <v>215</v>
      </c>
      <c r="H161" s="93">
        <f>1-(2.5/100)</f>
        <v>0.97499999999999998</v>
      </c>
      <c r="I161" s="93">
        <f>1-(2.5/100)</f>
        <v>0.97499999999999998</v>
      </c>
      <c r="J161" s="141"/>
      <c r="K161" s="141"/>
      <c r="L161" s="92"/>
      <c r="M161" s="91"/>
      <c r="N161" s="91"/>
      <c r="O161" s="91"/>
      <c r="P161" s="91"/>
      <c r="Q161" s="91"/>
      <c r="R161" s="91"/>
      <c r="S161" s="91"/>
      <c r="T161" s="91"/>
      <c r="U161" s="91"/>
      <c r="V161" s="91"/>
      <c r="W161" s="91"/>
      <c r="X161" s="91"/>
      <c r="Y161" s="91"/>
      <c r="Z161" s="91"/>
      <c r="AA161" s="91"/>
    </row>
    <row r="162" spans="1:27" ht="12.75" customHeight="1">
      <c r="A162" s="3"/>
      <c r="B162" s="142" t="s">
        <v>216</v>
      </c>
      <c r="C162" s="142"/>
      <c r="D162" s="142"/>
      <c r="E162" s="142"/>
      <c r="F162" s="94" t="e">
        <f>SUM(F156:F160)</f>
        <v>#REF!</v>
      </c>
      <c r="G162" s="95"/>
      <c r="H162" s="96"/>
      <c r="I162" s="97"/>
      <c r="J162" s="25" t="e">
        <f>SUM(J156:J161)</f>
        <v>#REF!</v>
      </c>
      <c r="K162" s="25" t="e">
        <f>SUM(K156:K161)</f>
        <v>#DIV/0!</v>
      </c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4" spans="1:27" ht="12.75" customHeight="1">
      <c r="A164" s="3"/>
      <c r="B164" s="133" t="s">
        <v>217</v>
      </c>
      <c r="C164" s="133"/>
      <c r="D164" s="133"/>
      <c r="E164" s="133"/>
      <c r="F164" s="133"/>
      <c r="G164" s="133"/>
      <c r="H164" s="133"/>
      <c r="I164" s="133"/>
      <c r="J164" s="133"/>
      <c r="K164" s="13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2.75" customHeight="1">
      <c r="A165" s="3"/>
      <c r="B165" s="133" t="s">
        <v>218</v>
      </c>
      <c r="C165" s="133"/>
      <c r="D165" s="133"/>
      <c r="E165" s="133"/>
      <c r="F165" s="133"/>
      <c r="G165" s="133"/>
      <c r="H165" s="133"/>
      <c r="I165" s="133"/>
      <c r="J165" s="133"/>
      <c r="K165" s="13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0.2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7.25" customHeight="1">
      <c r="A167" s="3"/>
      <c r="B167" s="134" t="s">
        <v>219</v>
      </c>
      <c r="C167" s="134"/>
      <c r="D167" s="134"/>
      <c r="E167" s="134"/>
      <c r="F167" s="134"/>
      <c r="G167" s="134"/>
      <c r="H167" s="134"/>
      <c r="I167" s="134"/>
      <c r="J167" s="134"/>
      <c r="K167" s="134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12.75" hidden="1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2.75" customHeight="1">
      <c r="A169" s="3"/>
      <c r="B169" s="11" t="s">
        <v>24</v>
      </c>
      <c r="C169" s="129" t="s">
        <v>220</v>
      </c>
      <c r="D169" s="129"/>
      <c r="E169" s="129"/>
      <c r="F169" s="129"/>
      <c r="G169" s="129"/>
      <c r="H169" s="129"/>
      <c r="I169" s="129"/>
      <c r="J169" s="129"/>
      <c r="K169" s="98">
        <f>K92</f>
        <v>0</v>
      </c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15.75" customHeight="1">
      <c r="A170" s="3"/>
      <c r="B170" s="11" t="s">
        <v>37</v>
      </c>
      <c r="C170" s="129" t="s">
        <v>221</v>
      </c>
      <c r="D170" s="129"/>
      <c r="E170" s="129"/>
      <c r="F170" s="129"/>
      <c r="G170" s="129"/>
      <c r="H170" s="129"/>
      <c r="I170" s="129"/>
      <c r="J170" s="129"/>
      <c r="K170" s="98" t="e">
        <f>K146</f>
        <v>#DIV/0!</v>
      </c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5.75" customHeight="1">
      <c r="A171" s="3"/>
      <c r="B171" s="11" t="s">
        <v>46</v>
      </c>
      <c r="C171" s="129" t="s">
        <v>222</v>
      </c>
      <c r="D171" s="129"/>
      <c r="E171" s="129"/>
      <c r="F171" s="129"/>
      <c r="G171" s="129"/>
      <c r="H171" s="129"/>
      <c r="I171" s="129"/>
      <c r="J171" s="129"/>
      <c r="K171" s="99" t="e">
        <f>J162+K162</f>
        <v>#REF!</v>
      </c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15.75" customHeight="1">
      <c r="A172" s="3"/>
      <c r="B172" s="36"/>
      <c r="C172" s="135" t="s">
        <v>223</v>
      </c>
      <c r="D172" s="135"/>
      <c r="E172" s="135"/>
      <c r="F172" s="135"/>
      <c r="G172" s="135"/>
      <c r="H172" s="135"/>
      <c r="I172" s="135"/>
      <c r="J172" s="135"/>
      <c r="K172" s="100" t="e">
        <f>SUM(K169:K171)-0.01</f>
        <v>#DIV/0!</v>
      </c>
      <c r="L172" s="79" t="e">
        <f>K172*10</f>
        <v>#DIV/0!</v>
      </c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5.75" customHeight="1">
      <c r="A173" s="3"/>
      <c r="B173" s="36"/>
      <c r="C173" s="129" t="s">
        <v>224</v>
      </c>
      <c r="D173" s="129"/>
      <c r="E173" s="129"/>
      <c r="F173" s="129"/>
      <c r="G173" s="129"/>
      <c r="H173" s="129"/>
      <c r="I173" s="129"/>
      <c r="J173" s="129"/>
      <c r="K173" s="100" t="e">
        <f>K172/(E134*F134)</f>
        <v>#DIV/0!</v>
      </c>
      <c r="L173" s="101">
        <f>E134*F134</f>
        <v>2240</v>
      </c>
      <c r="M173" s="3" t="s">
        <v>225</v>
      </c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15.75" customHeight="1">
      <c r="A174" s="3"/>
      <c r="B174" s="36"/>
      <c r="C174" s="129" t="s">
        <v>226</v>
      </c>
      <c r="D174" s="129"/>
      <c r="E174" s="129"/>
      <c r="F174" s="129"/>
      <c r="G174" s="129"/>
      <c r="H174" s="129"/>
      <c r="I174" s="129"/>
      <c r="J174" s="129"/>
      <c r="K174" s="100" t="e">
        <f>(K152+K162)/(E134*F134)</f>
        <v>#DIV/0!</v>
      </c>
      <c r="L174" s="101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15.75" customHeight="1">
      <c r="A175" s="3"/>
      <c r="B175" s="36"/>
      <c r="C175" s="129" t="s">
        <v>227</v>
      </c>
      <c r="D175" s="129"/>
      <c r="E175" s="129"/>
      <c r="F175" s="129"/>
      <c r="G175" s="129"/>
      <c r="H175" s="129"/>
      <c r="I175" s="129"/>
      <c r="J175" s="129"/>
      <c r="K175" s="100" t="e">
        <f>J152+J162</f>
        <v>#REF!</v>
      </c>
      <c r="L175" s="101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15.75" customHeight="1">
      <c r="A176" s="3"/>
      <c r="B176" s="36"/>
      <c r="C176" s="129" t="s">
        <v>228</v>
      </c>
      <c r="D176" s="129"/>
      <c r="E176" s="129"/>
      <c r="F176" s="129"/>
      <c r="G176" s="129"/>
      <c r="H176" s="129"/>
      <c r="I176" s="129"/>
      <c r="J176" s="129"/>
      <c r="K176" s="100" t="e">
        <f>K152+K162</f>
        <v>#DIV/0!</v>
      </c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15.75" customHeight="1">
      <c r="A177" s="3"/>
      <c r="B177" s="102"/>
      <c r="C177" s="103"/>
      <c r="D177" s="104"/>
      <c r="E177" s="104"/>
      <c r="F177" s="104"/>
      <c r="G177" s="104"/>
      <c r="H177" s="104"/>
      <c r="I177" s="104"/>
      <c r="J177" s="104"/>
      <c r="K177" s="105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15.75" customHeight="1">
      <c r="A178" s="3"/>
      <c r="B178" s="102"/>
      <c r="C178" s="103"/>
      <c r="D178" s="104"/>
      <c r="E178" s="104"/>
      <c r="F178" s="104"/>
      <c r="G178" s="104"/>
      <c r="H178" s="104"/>
      <c r="I178" s="104"/>
      <c r="J178" s="104"/>
      <c r="K178" s="105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106" t="str">
        <f>'0-1'!K179</f>
        <v>Santa Maria, 24 de agosto de 2024.</v>
      </c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"/>
      <c r="B181" s="130" t="s">
        <v>232</v>
      </c>
      <c r="C181" s="130"/>
      <c r="D181" s="130"/>
      <c r="E181" s="3"/>
      <c r="F181" s="3"/>
      <c r="G181" s="3"/>
      <c r="H181" s="3"/>
      <c r="I181" s="3"/>
      <c r="J181" s="3"/>
      <c r="K181" s="106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3"/>
      <c r="B182" s="131" t="s">
        <v>233</v>
      </c>
      <c r="C182" s="131"/>
      <c r="D182" s="131"/>
      <c r="E182" s="3"/>
      <c r="F182" s="3"/>
      <c r="G182" s="3"/>
      <c r="H182" s="131"/>
      <c r="I182" s="131"/>
      <c r="J182" s="131"/>
      <c r="K182" s="131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</row>
    <row r="355" spans="1:27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</row>
    <row r="356" spans="1:27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</row>
    <row r="357" spans="1:27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</row>
    <row r="358" spans="1:27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</row>
    <row r="359" spans="1:27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</row>
    <row r="360" spans="1:27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</row>
    <row r="361" spans="1:27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</row>
    <row r="362" spans="1:27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</row>
    <row r="363" spans="1:27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</row>
    <row r="364" spans="1:27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</row>
    <row r="365" spans="1:27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</row>
    <row r="366" spans="1:27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</row>
    <row r="367" spans="1:27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</row>
    <row r="368" spans="1:27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</row>
    <row r="369" spans="1:27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</row>
    <row r="370" spans="1:27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</row>
    <row r="371" spans="1:27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</row>
    <row r="372" spans="1:27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</row>
    <row r="373" spans="1:27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</row>
    <row r="374" spans="1:27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</row>
    <row r="375" spans="1:27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</row>
    <row r="376" spans="1:27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</row>
    <row r="377" spans="1:2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</row>
    <row r="378" spans="1:27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</row>
    <row r="379" spans="1:27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</row>
    <row r="380" spans="1:27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</row>
    <row r="381" spans="1:27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</row>
    <row r="382" spans="1:27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</row>
    <row r="383" spans="1:27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</row>
    <row r="384" spans="1:27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</row>
    <row r="385" spans="1:27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</row>
    <row r="386" spans="1:27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</row>
    <row r="387" spans="1:2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</row>
    <row r="388" spans="1:27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</row>
    <row r="389" spans="1:27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</row>
    <row r="390" spans="1:27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</row>
    <row r="391" spans="1:27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</row>
    <row r="392" spans="1:27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</row>
    <row r="393" spans="1:27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</row>
    <row r="394" spans="1:27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</row>
    <row r="395" spans="1:27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</row>
    <row r="396" spans="1:27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</row>
    <row r="397" spans="1:2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</row>
    <row r="398" spans="1:27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</row>
    <row r="399" spans="1:27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</row>
    <row r="400" spans="1:27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</row>
    <row r="401" spans="1:27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</row>
    <row r="402" spans="1:27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</row>
    <row r="403" spans="1:27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</row>
    <row r="404" spans="1:27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</row>
    <row r="405" spans="1:27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</row>
    <row r="406" spans="1:27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</row>
    <row r="407" spans="1:2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</row>
    <row r="408" spans="1:27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</row>
    <row r="409" spans="1:27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</row>
    <row r="410" spans="1:27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</row>
    <row r="411" spans="1:27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</row>
    <row r="412" spans="1:27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</row>
    <row r="413" spans="1:27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</row>
    <row r="414" spans="1:27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</row>
    <row r="415" spans="1:27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</row>
    <row r="416" spans="1:27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</row>
    <row r="417" spans="1:2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</row>
    <row r="418" spans="1:27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</row>
    <row r="419" spans="1:27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</row>
    <row r="420" spans="1:27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</row>
    <row r="421" spans="1:27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</row>
    <row r="422" spans="1:27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</row>
    <row r="423" spans="1:27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</row>
    <row r="424" spans="1:27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</row>
    <row r="425" spans="1:27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</row>
    <row r="426" spans="1:27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</row>
    <row r="427" spans="1: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</row>
    <row r="428" spans="1:27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</row>
    <row r="429" spans="1:27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</row>
    <row r="430" spans="1:27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</row>
    <row r="431" spans="1:27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</row>
    <row r="432" spans="1:27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</row>
    <row r="433" spans="1:27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</row>
    <row r="434" spans="1:27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</row>
    <row r="435" spans="1:27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</row>
    <row r="436" spans="1:27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</row>
    <row r="437" spans="1:2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</row>
    <row r="438" spans="1:27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</row>
    <row r="439" spans="1:27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</row>
    <row r="440" spans="1:27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</row>
    <row r="441" spans="1:27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</row>
    <row r="442" spans="1:27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</row>
    <row r="443" spans="1:27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</row>
    <row r="444" spans="1:27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</row>
    <row r="445" spans="1:27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</row>
    <row r="446" spans="1:27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</row>
    <row r="447" spans="1:2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</row>
    <row r="448" spans="1:27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</row>
    <row r="449" spans="1:27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</row>
    <row r="450" spans="1:27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</row>
    <row r="451" spans="1:27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</row>
    <row r="452" spans="1:27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</row>
    <row r="453" spans="1:27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</row>
    <row r="454" spans="1:27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</row>
    <row r="455" spans="1:27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</row>
    <row r="456" spans="1:27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</row>
    <row r="457" spans="1:2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</row>
    <row r="458" spans="1:27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</row>
    <row r="459" spans="1:27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</row>
    <row r="460" spans="1:27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</row>
    <row r="461" spans="1:27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</row>
    <row r="462" spans="1:27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</row>
    <row r="463" spans="1:27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</row>
    <row r="464" spans="1:27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</row>
    <row r="465" spans="1:27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</row>
    <row r="466" spans="1:27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</row>
    <row r="467" spans="1:2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</row>
    <row r="468" spans="1:27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</row>
    <row r="469" spans="1:27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</row>
    <row r="470" spans="1:27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</row>
    <row r="471" spans="1:27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</row>
    <row r="472" spans="1:27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</row>
    <row r="473" spans="1:27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</row>
    <row r="474" spans="1:27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</row>
    <row r="475" spans="1:27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</row>
    <row r="476" spans="1:27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</row>
    <row r="477" spans="1:2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</row>
    <row r="478" spans="1:27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</row>
    <row r="479" spans="1:27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</row>
    <row r="480" spans="1:27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</row>
    <row r="481" spans="1:27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</row>
    <row r="482" spans="1:27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</row>
    <row r="483" spans="1:27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</row>
    <row r="484" spans="1:27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</row>
    <row r="485" spans="1:27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</row>
    <row r="486" spans="1:27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</row>
    <row r="487" spans="1:2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</row>
    <row r="488" spans="1:27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</row>
    <row r="489" spans="1:27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</row>
    <row r="490" spans="1:27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</row>
    <row r="491" spans="1:27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</row>
    <row r="492" spans="1:27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</row>
    <row r="493" spans="1:27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</row>
    <row r="494" spans="1:27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</row>
    <row r="495" spans="1:27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</row>
    <row r="496" spans="1:27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</row>
    <row r="497" spans="1:2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</row>
    <row r="498" spans="1:27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</row>
    <row r="499" spans="1:27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</row>
    <row r="500" spans="1:27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</row>
    <row r="501" spans="1:27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</row>
    <row r="502" spans="1:27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</row>
    <row r="503" spans="1:27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</row>
    <row r="504" spans="1:27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</row>
    <row r="505" spans="1:27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</row>
    <row r="506" spans="1:27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</row>
    <row r="507" spans="1:2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</row>
    <row r="508" spans="1:27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</row>
    <row r="509" spans="1:27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</row>
    <row r="510" spans="1:27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</row>
    <row r="511" spans="1:27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</row>
    <row r="512" spans="1:27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</row>
    <row r="513" spans="1:27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</row>
    <row r="514" spans="1:27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</row>
    <row r="515" spans="1:27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</row>
    <row r="516" spans="1:27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</row>
    <row r="517" spans="1:2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</row>
    <row r="518" spans="1:27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</row>
    <row r="519" spans="1:27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</row>
    <row r="520" spans="1:27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</row>
    <row r="521" spans="1:27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</row>
    <row r="522" spans="1:27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</row>
    <row r="523" spans="1:27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</row>
    <row r="524" spans="1:27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</row>
    <row r="525" spans="1:27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</row>
    <row r="526" spans="1:27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</row>
    <row r="527" spans="1: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</row>
    <row r="528" spans="1:27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</row>
    <row r="529" spans="1:27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</row>
    <row r="530" spans="1:27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</row>
    <row r="531" spans="1:27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</row>
    <row r="532" spans="1:27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</row>
    <row r="533" spans="1:27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</row>
    <row r="534" spans="1:27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</row>
    <row r="535" spans="1:27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</row>
    <row r="536" spans="1:27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</row>
    <row r="537" spans="1:2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</row>
    <row r="538" spans="1:27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</row>
    <row r="539" spans="1:27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</row>
    <row r="540" spans="1:27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</row>
    <row r="541" spans="1:27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</row>
    <row r="542" spans="1:27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</row>
    <row r="543" spans="1:27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</row>
    <row r="544" spans="1:27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</row>
    <row r="545" spans="1:27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</row>
    <row r="546" spans="1:27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</row>
    <row r="547" spans="1:2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</row>
    <row r="548" spans="1:27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</row>
    <row r="549" spans="1:27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</row>
    <row r="550" spans="1:27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</row>
    <row r="551" spans="1:27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</row>
    <row r="552" spans="1:27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</row>
    <row r="553" spans="1:27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</row>
    <row r="554" spans="1:27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</row>
    <row r="555" spans="1:27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</row>
    <row r="556" spans="1:27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</row>
    <row r="557" spans="1:2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</row>
    <row r="558" spans="1:27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</row>
    <row r="559" spans="1:27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</row>
    <row r="560" spans="1:27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</row>
    <row r="561" spans="1:27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</row>
    <row r="562" spans="1:27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</row>
    <row r="563" spans="1:27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</row>
    <row r="564" spans="1:27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</row>
    <row r="565" spans="1:27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</row>
    <row r="566" spans="1:27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</row>
    <row r="567" spans="1:2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</row>
    <row r="568" spans="1:27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</row>
    <row r="569" spans="1:27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</row>
    <row r="570" spans="1:27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</row>
    <row r="571" spans="1:27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</row>
    <row r="572" spans="1:27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</row>
    <row r="573" spans="1:27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</row>
    <row r="574" spans="1:27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</row>
    <row r="575" spans="1:27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</row>
    <row r="576" spans="1:27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</row>
    <row r="577" spans="1:2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</row>
    <row r="578" spans="1:27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</row>
    <row r="579" spans="1:27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</row>
    <row r="580" spans="1:27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</row>
    <row r="581" spans="1:27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</row>
    <row r="582" spans="1:27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</row>
    <row r="583" spans="1:27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</row>
    <row r="584" spans="1:27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</row>
    <row r="585" spans="1:27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</row>
    <row r="586" spans="1:27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</row>
    <row r="587" spans="1:2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</row>
    <row r="588" spans="1:27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</row>
    <row r="589" spans="1:27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</row>
    <row r="590" spans="1:27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</row>
    <row r="591" spans="1:27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</row>
    <row r="592" spans="1:27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</row>
    <row r="593" spans="1:27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</row>
    <row r="594" spans="1:27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</row>
    <row r="595" spans="1:27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</row>
    <row r="596" spans="1:27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</row>
    <row r="597" spans="1:2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</row>
    <row r="598" spans="1:27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</row>
    <row r="599" spans="1:27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</row>
    <row r="600" spans="1:27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</row>
    <row r="601" spans="1:27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</row>
    <row r="602" spans="1:27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</row>
    <row r="603" spans="1:27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</row>
    <row r="604" spans="1:27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</row>
    <row r="605" spans="1:27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</row>
    <row r="606" spans="1:27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</row>
    <row r="607" spans="1:2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</row>
    <row r="608" spans="1:27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</row>
    <row r="609" spans="1:27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</row>
    <row r="610" spans="1:27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</row>
    <row r="611" spans="1:27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</row>
    <row r="612" spans="1:27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</row>
    <row r="613" spans="1:27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</row>
    <row r="614" spans="1:27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</row>
    <row r="615" spans="1:27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</row>
    <row r="616" spans="1:27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</row>
    <row r="617" spans="1:2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</row>
    <row r="618" spans="1:27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</row>
    <row r="619" spans="1:27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</row>
    <row r="620" spans="1:27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</row>
    <row r="621" spans="1:27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</row>
    <row r="622" spans="1:27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</row>
    <row r="623" spans="1:27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</row>
    <row r="624" spans="1:27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</row>
    <row r="625" spans="1:27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</row>
    <row r="626" spans="1:27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</row>
    <row r="627" spans="1: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</row>
    <row r="628" spans="1:27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</row>
    <row r="629" spans="1:27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</row>
    <row r="630" spans="1:27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</row>
    <row r="631" spans="1:27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</row>
    <row r="632" spans="1:27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</row>
    <row r="633" spans="1:27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</row>
    <row r="634" spans="1:27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</row>
    <row r="635" spans="1:27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</row>
    <row r="636" spans="1:27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</row>
    <row r="637" spans="1:2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</row>
    <row r="638" spans="1:27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</row>
    <row r="639" spans="1:27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</row>
    <row r="640" spans="1:27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</row>
    <row r="641" spans="1:27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</row>
    <row r="642" spans="1:27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</row>
    <row r="643" spans="1:27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</row>
    <row r="644" spans="1:27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</row>
    <row r="645" spans="1:27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</row>
    <row r="646" spans="1:27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</row>
    <row r="647" spans="1:2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</row>
    <row r="648" spans="1:27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</row>
    <row r="649" spans="1:27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</row>
    <row r="650" spans="1:27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</row>
    <row r="651" spans="1:27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</row>
    <row r="652" spans="1:27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</row>
    <row r="653" spans="1:27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</row>
    <row r="654" spans="1:27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</row>
    <row r="655" spans="1:27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</row>
    <row r="656" spans="1:27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</row>
    <row r="657" spans="1:2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</row>
    <row r="658" spans="1:27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</row>
    <row r="659" spans="1:27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</row>
    <row r="660" spans="1:27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</row>
    <row r="661" spans="1:27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</row>
    <row r="662" spans="1:27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</row>
    <row r="663" spans="1:27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</row>
    <row r="664" spans="1:27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</row>
    <row r="665" spans="1:27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</row>
    <row r="666" spans="1:27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</row>
    <row r="667" spans="1:2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</row>
    <row r="668" spans="1:27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</row>
    <row r="669" spans="1:27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</row>
    <row r="670" spans="1:27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</row>
    <row r="671" spans="1:27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</row>
    <row r="672" spans="1:27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</row>
    <row r="673" spans="1:27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</row>
    <row r="674" spans="1:27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</row>
    <row r="675" spans="1:27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</row>
    <row r="676" spans="1:27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</row>
    <row r="677" spans="1:2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</row>
    <row r="678" spans="1:27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</row>
    <row r="679" spans="1:27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</row>
    <row r="680" spans="1:27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</row>
    <row r="681" spans="1:27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</row>
    <row r="682" spans="1:27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</row>
    <row r="683" spans="1:27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</row>
    <row r="684" spans="1:27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</row>
    <row r="685" spans="1:27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</row>
    <row r="686" spans="1:27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</row>
    <row r="687" spans="1:2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</row>
    <row r="688" spans="1:27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</row>
    <row r="689" spans="1:27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</row>
    <row r="690" spans="1:27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</row>
    <row r="691" spans="1:27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</row>
    <row r="692" spans="1:27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</row>
    <row r="693" spans="1:27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</row>
    <row r="694" spans="1:27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</row>
    <row r="695" spans="1:27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</row>
    <row r="696" spans="1:27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</row>
    <row r="697" spans="1:2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</row>
    <row r="698" spans="1:27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</row>
    <row r="699" spans="1:27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</row>
    <row r="700" spans="1:27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</row>
    <row r="701" spans="1:27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</row>
    <row r="702" spans="1:27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</row>
    <row r="703" spans="1:27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</row>
    <row r="704" spans="1:27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</row>
    <row r="705" spans="1:27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</row>
    <row r="706" spans="1:27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</row>
    <row r="707" spans="1:2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</row>
    <row r="708" spans="1:27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</row>
    <row r="709" spans="1:27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</row>
    <row r="710" spans="1:27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</row>
    <row r="711" spans="1:27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</row>
    <row r="712" spans="1:27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</row>
    <row r="713" spans="1:27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</row>
    <row r="714" spans="1:27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</row>
    <row r="715" spans="1:27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</row>
    <row r="716" spans="1:27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</row>
    <row r="717" spans="1:2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</row>
    <row r="718" spans="1:27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</row>
    <row r="719" spans="1:27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</row>
    <row r="720" spans="1:27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</row>
    <row r="721" spans="1:27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</row>
    <row r="722" spans="1:27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</row>
    <row r="723" spans="1:27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</row>
    <row r="724" spans="1:27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</row>
    <row r="725" spans="1:27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</row>
    <row r="726" spans="1:27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</row>
    <row r="727" spans="1: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</row>
    <row r="728" spans="1:27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</row>
    <row r="729" spans="1:27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</row>
    <row r="730" spans="1:27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</row>
    <row r="731" spans="1:27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</row>
    <row r="732" spans="1:27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</row>
    <row r="733" spans="1:27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</row>
    <row r="734" spans="1:27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</row>
    <row r="735" spans="1:27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</row>
    <row r="736" spans="1:27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</row>
    <row r="737" spans="1:2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</row>
    <row r="738" spans="1:27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</row>
    <row r="739" spans="1:27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</row>
    <row r="740" spans="1:27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</row>
    <row r="741" spans="1:27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</row>
    <row r="742" spans="1:27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</row>
    <row r="743" spans="1:27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</row>
    <row r="744" spans="1:27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</row>
    <row r="745" spans="1:27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</row>
    <row r="746" spans="1:27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</row>
    <row r="747" spans="1:2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</row>
    <row r="748" spans="1:27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</row>
    <row r="749" spans="1:27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</row>
    <row r="750" spans="1:27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</row>
    <row r="751" spans="1:27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</row>
    <row r="752" spans="1:27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</row>
    <row r="753" spans="1:27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</row>
    <row r="754" spans="1:27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</row>
    <row r="755" spans="1:27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</row>
    <row r="756" spans="1:27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</row>
    <row r="757" spans="1:2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</row>
    <row r="758" spans="1:27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</row>
    <row r="759" spans="1:27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</row>
    <row r="760" spans="1:27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</row>
    <row r="761" spans="1:27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</row>
    <row r="762" spans="1:27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</row>
    <row r="763" spans="1:27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</row>
    <row r="764" spans="1:27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</row>
    <row r="765" spans="1:27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</row>
    <row r="766" spans="1:27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</row>
    <row r="767" spans="1:2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</row>
    <row r="768" spans="1:27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</row>
    <row r="769" spans="1:27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</row>
    <row r="770" spans="1:27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</row>
    <row r="771" spans="1:27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</row>
    <row r="772" spans="1:27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</row>
    <row r="773" spans="1:27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</row>
    <row r="774" spans="1:27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</row>
    <row r="775" spans="1:27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</row>
    <row r="776" spans="1:27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</row>
    <row r="777" spans="1:2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</row>
    <row r="778" spans="1:27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</row>
    <row r="779" spans="1:27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</row>
    <row r="780" spans="1:27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</row>
    <row r="781" spans="1:27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</row>
    <row r="782" spans="1:27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</row>
    <row r="783" spans="1:27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</row>
    <row r="784" spans="1:27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</row>
    <row r="785" spans="1:27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</row>
    <row r="786" spans="1:27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</row>
    <row r="787" spans="1:2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</row>
    <row r="788" spans="1:27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</row>
    <row r="789" spans="1:27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</row>
    <row r="790" spans="1:27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</row>
    <row r="791" spans="1:27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</row>
    <row r="792" spans="1:27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</row>
    <row r="793" spans="1:27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</row>
    <row r="794" spans="1:27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</row>
    <row r="795" spans="1:27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</row>
    <row r="796" spans="1:27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</row>
    <row r="797" spans="1:2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</row>
    <row r="798" spans="1:27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</row>
    <row r="799" spans="1:27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</row>
    <row r="800" spans="1:27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</row>
    <row r="801" spans="1:27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</row>
    <row r="802" spans="1:27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</row>
    <row r="803" spans="1:27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</row>
    <row r="804" spans="1:27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</row>
    <row r="805" spans="1:27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</row>
    <row r="806" spans="1:27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</row>
    <row r="807" spans="1:2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</row>
    <row r="808" spans="1:27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</row>
    <row r="809" spans="1:27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</row>
    <row r="810" spans="1:27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</row>
    <row r="811" spans="1:27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</row>
    <row r="812" spans="1:27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</row>
    <row r="813" spans="1:27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</row>
    <row r="814" spans="1:27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</row>
    <row r="815" spans="1:27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</row>
    <row r="816" spans="1:27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</row>
    <row r="817" spans="1:2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</row>
    <row r="818" spans="1:27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</row>
    <row r="819" spans="1:27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</row>
    <row r="820" spans="1:27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</row>
    <row r="821" spans="1:27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</row>
    <row r="822" spans="1:27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</row>
    <row r="823" spans="1:27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</row>
    <row r="824" spans="1:27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</row>
    <row r="825" spans="1:27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</row>
    <row r="826" spans="1:27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</row>
    <row r="827" spans="1: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</row>
    <row r="828" spans="1:27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</row>
    <row r="829" spans="1:27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</row>
    <row r="830" spans="1:27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</row>
    <row r="831" spans="1:27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</row>
    <row r="832" spans="1:27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</row>
    <row r="833" spans="1:27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</row>
    <row r="834" spans="1:27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</row>
    <row r="835" spans="1:27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</row>
    <row r="836" spans="1:27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</row>
    <row r="837" spans="1:2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</row>
    <row r="838" spans="1:27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</row>
    <row r="839" spans="1:27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</row>
    <row r="840" spans="1:27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</row>
    <row r="841" spans="1:27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</row>
    <row r="842" spans="1:27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</row>
    <row r="843" spans="1:27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</row>
    <row r="844" spans="1:27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</row>
    <row r="845" spans="1:27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</row>
    <row r="846" spans="1:27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</row>
    <row r="847" spans="1:2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</row>
    <row r="848" spans="1:27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</row>
    <row r="849" spans="1:27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</row>
    <row r="850" spans="1:27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</row>
    <row r="851" spans="1:27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</row>
    <row r="852" spans="1:27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</row>
    <row r="853" spans="1:27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</row>
    <row r="854" spans="1:27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</row>
    <row r="855" spans="1:27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</row>
    <row r="856" spans="1:27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</row>
    <row r="857" spans="1:2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</row>
    <row r="858" spans="1:27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</row>
    <row r="859" spans="1:27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</row>
    <row r="860" spans="1:27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</row>
    <row r="861" spans="1:27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</row>
    <row r="862" spans="1:27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</row>
    <row r="863" spans="1:27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</row>
    <row r="864" spans="1:27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</row>
    <row r="865" spans="1:27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</row>
    <row r="866" spans="1:27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</row>
    <row r="867" spans="1:2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</row>
    <row r="868" spans="1:27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</row>
    <row r="869" spans="1:27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</row>
    <row r="870" spans="1:27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</row>
    <row r="871" spans="1:27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</row>
    <row r="872" spans="1:27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</row>
    <row r="873" spans="1:27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</row>
    <row r="874" spans="1:27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</row>
    <row r="875" spans="1:27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</row>
    <row r="876" spans="1:27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</row>
    <row r="877" spans="1:2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</row>
    <row r="878" spans="1:27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</row>
    <row r="879" spans="1:27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</row>
    <row r="880" spans="1:27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</row>
    <row r="881" spans="1:27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</row>
    <row r="882" spans="1:27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</row>
    <row r="883" spans="1:27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</row>
    <row r="884" spans="1:27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</row>
    <row r="885" spans="1:27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</row>
    <row r="886" spans="1:27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</row>
    <row r="887" spans="1:2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</row>
    <row r="888" spans="1:27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</row>
    <row r="889" spans="1:27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</row>
    <row r="890" spans="1:27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</row>
    <row r="891" spans="1:27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</row>
    <row r="892" spans="1:27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</row>
    <row r="893" spans="1:27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</row>
    <row r="894" spans="1:27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</row>
    <row r="895" spans="1:27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</row>
    <row r="896" spans="1:27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</row>
    <row r="897" spans="1:2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</row>
    <row r="898" spans="1:27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</row>
    <row r="899" spans="1:27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</row>
    <row r="900" spans="1:27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</row>
    <row r="901" spans="1:27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</row>
    <row r="902" spans="1:27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</row>
    <row r="903" spans="1:27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</row>
    <row r="904" spans="1:27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</row>
    <row r="905" spans="1:27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</row>
    <row r="906" spans="1:27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</row>
    <row r="907" spans="1:2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</row>
    <row r="908" spans="1:27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</row>
    <row r="909" spans="1:27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</row>
    <row r="910" spans="1:27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</row>
    <row r="911" spans="1:27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</row>
    <row r="912" spans="1:27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</row>
    <row r="913" spans="1:27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</row>
    <row r="914" spans="1:27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</row>
    <row r="915" spans="1:27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</row>
    <row r="916" spans="1:27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</row>
    <row r="917" spans="1:2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</row>
    <row r="918" spans="1:27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</row>
    <row r="919" spans="1:27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</row>
    <row r="920" spans="1:27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</row>
    <row r="921" spans="1:27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</row>
    <row r="922" spans="1:27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</row>
    <row r="923" spans="1:27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</row>
    <row r="924" spans="1:27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</row>
    <row r="925" spans="1:27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</row>
    <row r="926" spans="1:27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</row>
    <row r="927" spans="1: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</row>
    <row r="928" spans="1:27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</row>
    <row r="929" spans="1:27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</row>
    <row r="930" spans="1:27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</row>
    <row r="931" spans="1:27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</row>
    <row r="932" spans="1:27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</row>
    <row r="933" spans="1:27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</row>
    <row r="934" spans="1:27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</row>
    <row r="935" spans="1:27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</row>
    <row r="936" spans="1:27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</row>
    <row r="937" spans="1:2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</row>
    <row r="938" spans="1:27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</row>
    <row r="939" spans="1:27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</row>
    <row r="940" spans="1:27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</row>
    <row r="941" spans="1:27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</row>
    <row r="942" spans="1:27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</row>
    <row r="943" spans="1:27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</row>
    <row r="944" spans="1:27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</row>
    <row r="945" spans="1:27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</row>
    <row r="946" spans="1:27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</row>
    <row r="947" spans="1:2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</row>
    <row r="948" spans="1:27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</row>
    <row r="949" spans="1:27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</row>
    <row r="950" spans="1:27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</row>
    <row r="951" spans="1:27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</row>
    <row r="952" spans="1:27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</row>
    <row r="953" spans="1:27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</row>
    <row r="954" spans="1:27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</row>
    <row r="955" spans="1:27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</row>
    <row r="956" spans="1:27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</row>
    <row r="957" spans="1:2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</row>
    <row r="958" spans="1:27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</row>
    <row r="959" spans="1:27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</row>
    <row r="960" spans="1:27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</row>
    <row r="961" spans="1:27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</row>
    <row r="962" spans="1:27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</row>
    <row r="963" spans="1:27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</row>
    <row r="964" spans="1:27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</row>
    <row r="965" spans="1:27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</row>
    <row r="966" spans="1:27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</row>
    <row r="967" spans="1:2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</row>
    <row r="968" spans="1:27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</row>
    <row r="969" spans="1:27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</row>
    <row r="970" spans="1:27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</row>
    <row r="971" spans="1:27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</row>
    <row r="972" spans="1:27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</row>
    <row r="973" spans="1:27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</row>
    <row r="974" spans="1:27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</row>
    <row r="975" spans="1:27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</row>
    <row r="976" spans="1:27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</row>
    <row r="977" spans="1:2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</row>
    <row r="978" spans="1:27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</row>
    <row r="979" spans="1:27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</row>
    <row r="980" spans="1:27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</row>
    <row r="981" spans="1:27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</row>
    <row r="982" spans="1:27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</row>
    <row r="983" spans="1:27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</row>
    <row r="984" spans="1:27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</row>
    <row r="985" spans="1:27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</row>
    <row r="986" spans="1:27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</row>
    <row r="987" spans="1:2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</row>
    <row r="988" spans="1:27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</row>
    <row r="989" spans="1:27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</row>
    <row r="990" spans="1:27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</row>
    <row r="991" spans="1:27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</row>
    <row r="992" spans="1:27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</row>
    <row r="993" spans="1:27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</row>
    <row r="994" spans="1:27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</row>
    <row r="995" spans="1:27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</row>
    <row r="996" spans="1:27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</row>
    <row r="997" spans="1:27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</row>
    <row r="998" spans="1:27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</row>
    <row r="999" spans="1:27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</row>
    <row r="1000" spans="1:27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</row>
    <row r="1001" spans="1:27" ht="15.75" customHeight="1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  <c r="AA1001" s="3"/>
    </row>
    <row r="1002" spans="1:27" ht="15.75" customHeight="1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  <c r="AA1002" s="3"/>
    </row>
    <row r="1003" spans="1:27" ht="15.75" customHeight="1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  <c r="AA1003" s="3"/>
    </row>
    <row r="1004" spans="1:27" ht="15.75" customHeight="1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  <c r="AA1004" s="3"/>
    </row>
    <row r="1005" spans="1:27" ht="15.75" customHeight="1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  <c r="AA1005" s="3"/>
    </row>
    <row r="1006" spans="1:27" ht="15.75" customHeight="1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  <c r="AA1006" s="3"/>
    </row>
    <row r="1007" spans="1:27" ht="15.75" customHeight="1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  <c r="AA1007" s="3"/>
    </row>
    <row r="1008" spans="1:27" ht="15.75" customHeight="1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  <c r="Z1008" s="3"/>
      <c r="AA1008" s="3"/>
    </row>
    <row r="1009" spans="1:27" ht="15.75" customHeight="1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  <c r="Z1009" s="3"/>
      <c r="AA1009" s="3"/>
    </row>
    <row r="1010" spans="1:27" ht="15.75" customHeight="1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  <c r="Z1010" s="3"/>
      <c r="AA1010" s="3"/>
    </row>
    <row r="1011" spans="1:27" ht="15.75" customHeight="1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  <c r="W1011" s="3"/>
      <c r="X1011" s="3"/>
      <c r="Y1011" s="3"/>
      <c r="Z1011" s="3"/>
      <c r="AA1011" s="3"/>
    </row>
    <row r="1012" spans="1:27" ht="15.75" customHeight="1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  <c r="W1012" s="3"/>
      <c r="X1012" s="3"/>
      <c r="Y1012" s="3"/>
      <c r="Z1012" s="3"/>
      <c r="AA1012" s="3"/>
    </row>
    <row r="1013" spans="1:27" ht="15.75" customHeight="1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/>
      <c r="W1013" s="3"/>
      <c r="X1013" s="3"/>
      <c r="Y1013" s="3"/>
      <c r="Z1013" s="3"/>
      <c r="AA1013" s="3"/>
    </row>
    <row r="1014" spans="1:27" ht="15.75" customHeight="1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Q1014" s="3"/>
      <c r="R1014" s="3"/>
      <c r="S1014" s="3"/>
      <c r="T1014" s="3"/>
      <c r="U1014" s="3"/>
      <c r="V1014" s="3"/>
      <c r="W1014" s="3"/>
      <c r="X1014" s="3"/>
      <c r="Y1014" s="3"/>
      <c r="Z1014" s="3"/>
      <c r="AA1014" s="3"/>
    </row>
    <row r="1015" spans="1:27" ht="15.75" customHeight="1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Q1015" s="3"/>
      <c r="R1015" s="3"/>
      <c r="S1015" s="3"/>
      <c r="T1015" s="3"/>
      <c r="U1015" s="3"/>
      <c r="V1015" s="3"/>
      <c r="W1015" s="3"/>
      <c r="X1015" s="3"/>
      <c r="Y1015" s="3"/>
      <c r="Z1015" s="3"/>
      <c r="AA1015" s="3"/>
    </row>
    <row r="1016" spans="1:27" ht="15.75" customHeight="1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Q1016" s="3"/>
      <c r="R1016" s="3"/>
      <c r="S1016" s="3"/>
      <c r="T1016" s="3"/>
      <c r="U1016" s="3"/>
      <c r="V1016" s="3"/>
      <c r="W1016" s="3"/>
      <c r="X1016" s="3"/>
      <c r="Y1016" s="3"/>
      <c r="Z1016" s="3"/>
      <c r="AA1016" s="3"/>
    </row>
    <row r="1017" spans="1:27" ht="15.75" customHeight="1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Q1017" s="3"/>
      <c r="R1017" s="3"/>
      <c r="S1017" s="3"/>
      <c r="T1017" s="3"/>
      <c r="U1017" s="3"/>
      <c r="V1017" s="3"/>
      <c r="W1017" s="3"/>
      <c r="X1017" s="3"/>
      <c r="Y1017" s="3"/>
      <c r="Z1017" s="3"/>
      <c r="AA1017" s="3"/>
    </row>
    <row r="1018" spans="1:27" ht="15.75" customHeight="1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Q1018" s="3"/>
      <c r="R1018" s="3"/>
      <c r="S1018" s="3"/>
      <c r="T1018" s="3"/>
      <c r="U1018" s="3"/>
      <c r="V1018" s="3"/>
      <c r="W1018" s="3"/>
      <c r="X1018" s="3"/>
      <c r="Y1018" s="3"/>
      <c r="Z1018" s="3"/>
      <c r="AA1018" s="3"/>
    </row>
    <row r="1019" spans="1:27" ht="15.75" customHeight="1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Q1019" s="3"/>
      <c r="R1019" s="3"/>
      <c r="S1019" s="3"/>
      <c r="T1019" s="3"/>
      <c r="U1019" s="3"/>
      <c r="V1019" s="3"/>
      <c r="W1019" s="3"/>
      <c r="X1019" s="3"/>
      <c r="Y1019" s="3"/>
      <c r="Z1019" s="3"/>
      <c r="AA1019" s="3"/>
    </row>
    <row r="1020" spans="1:27" ht="15.75" customHeight="1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Q1020" s="3"/>
      <c r="R1020" s="3"/>
      <c r="S1020" s="3"/>
      <c r="T1020" s="3"/>
      <c r="U1020" s="3"/>
      <c r="V1020" s="3"/>
      <c r="W1020" s="3"/>
      <c r="X1020" s="3"/>
      <c r="Y1020" s="3"/>
      <c r="Z1020" s="3"/>
      <c r="AA1020" s="3"/>
    </row>
  </sheetData>
  <mergeCells count="206">
    <mergeCell ref="B2:K2"/>
    <mergeCell ref="B3:K3"/>
    <mergeCell ref="B4:K4"/>
    <mergeCell ref="B5:K5"/>
    <mergeCell ref="B6:K6"/>
    <mergeCell ref="B7:K7"/>
    <mergeCell ref="B8:D8"/>
    <mergeCell ref="B9:D9"/>
    <mergeCell ref="B10:D10"/>
    <mergeCell ref="B11:D11"/>
    <mergeCell ref="B12:K12"/>
    <mergeCell ref="B13:K13"/>
    <mergeCell ref="C14:J14"/>
    <mergeCell ref="C15:F15"/>
    <mergeCell ref="H15:I15"/>
    <mergeCell ref="C16:F16"/>
    <mergeCell ref="H16:I16"/>
    <mergeCell ref="C17:F17"/>
    <mergeCell ref="H17:I17"/>
    <mergeCell ref="B18:I18"/>
    <mergeCell ref="B19:J19"/>
    <mergeCell ref="B20:K20"/>
    <mergeCell ref="B21:K21"/>
    <mergeCell ref="B22:K22"/>
    <mergeCell ref="B23:K23"/>
    <mergeCell ref="C24:I24"/>
    <mergeCell ref="C25:I25"/>
    <mergeCell ref="C26:I26"/>
    <mergeCell ref="B27:J27"/>
    <mergeCell ref="B28:K28"/>
    <mergeCell ref="B29:K29"/>
    <mergeCell ref="B30:K30"/>
    <mergeCell ref="C31:I31"/>
    <mergeCell ref="C32:I32"/>
    <mergeCell ref="C33:I33"/>
    <mergeCell ref="C34:I34"/>
    <mergeCell ref="C35:I35"/>
    <mergeCell ref="C36:I36"/>
    <mergeCell ref="C37:I37"/>
    <mergeCell ref="C38:I38"/>
    <mergeCell ref="C39:I39"/>
    <mergeCell ref="B40:I40"/>
    <mergeCell ref="B41:K41"/>
    <mergeCell ref="B42:K42"/>
    <mergeCell ref="C43:I43"/>
    <mergeCell ref="C44:G44"/>
    <mergeCell ref="H44:I44"/>
    <mergeCell ref="C45:G45"/>
    <mergeCell ref="H45:I45"/>
    <mergeCell ref="J45:J47"/>
    <mergeCell ref="C46:G46"/>
    <mergeCell ref="H46:I46"/>
    <mergeCell ref="C47:G47"/>
    <mergeCell ref="H47:I47"/>
    <mergeCell ref="C48:G48"/>
    <mergeCell ref="H48:I48"/>
    <mergeCell ref="C49:I49"/>
    <mergeCell ref="J49:J50"/>
    <mergeCell ref="C50:I50"/>
    <mergeCell ref="B51:J51"/>
    <mergeCell ref="B53:K53"/>
    <mergeCell ref="C54:J54"/>
    <mergeCell ref="C55:J55"/>
    <mergeCell ref="C56:J56"/>
    <mergeCell ref="C57:J57"/>
    <mergeCell ref="B58:J58"/>
    <mergeCell ref="B59:K59"/>
    <mergeCell ref="B60:K60"/>
    <mergeCell ref="C61:I61"/>
    <mergeCell ref="C62:I62"/>
    <mergeCell ref="C63:I63"/>
    <mergeCell ref="C64:I64"/>
    <mergeCell ref="C65:I65"/>
    <mergeCell ref="C66:I66"/>
    <mergeCell ref="C67:I67"/>
    <mergeCell ref="B68:J68"/>
    <mergeCell ref="B69:K69"/>
    <mergeCell ref="B70:K70"/>
    <mergeCell ref="B71:K71"/>
    <mergeCell ref="C72:I72"/>
    <mergeCell ref="C73:I73"/>
    <mergeCell ref="C74:I74"/>
    <mergeCell ref="C75:I75"/>
    <mergeCell ref="C76:I76"/>
    <mergeCell ref="C77:I77"/>
    <mergeCell ref="C78:I78"/>
    <mergeCell ref="C79:I79"/>
    <mergeCell ref="C80:I80"/>
    <mergeCell ref="C81:I81"/>
    <mergeCell ref="C82:I82"/>
    <mergeCell ref="C83:I83"/>
    <mergeCell ref="B84:K84"/>
    <mergeCell ref="B85:K85"/>
    <mergeCell ref="B86:K86"/>
    <mergeCell ref="C87:J87"/>
    <mergeCell ref="C88:J88"/>
    <mergeCell ref="C89:J89"/>
    <mergeCell ref="C90:J90"/>
    <mergeCell ref="C91:J91"/>
    <mergeCell ref="C92:J92"/>
    <mergeCell ref="B93:K93"/>
    <mergeCell ref="B94:K94"/>
    <mergeCell ref="C95:D95"/>
    <mergeCell ref="I95:J95"/>
    <mergeCell ref="C96:D96"/>
    <mergeCell ref="I96:J96"/>
    <mergeCell ref="C97:D97"/>
    <mergeCell ref="I97:J97"/>
    <mergeCell ref="C98:D98"/>
    <mergeCell ref="I98:J98"/>
    <mergeCell ref="C99:D99"/>
    <mergeCell ref="I99:J99"/>
    <mergeCell ref="C100:J100"/>
    <mergeCell ref="C102:D102"/>
    <mergeCell ref="I102:J103"/>
    <mergeCell ref="K102:K103"/>
    <mergeCell ref="I104:J104"/>
    <mergeCell ref="I105:J105"/>
    <mergeCell ref="I106:J106"/>
    <mergeCell ref="I107:J107"/>
    <mergeCell ref="I108:J108"/>
    <mergeCell ref="I109:J109"/>
    <mergeCell ref="I110:J110"/>
    <mergeCell ref="I111:J111"/>
    <mergeCell ref="I112:J112"/>
    <mergeCell ref="I113:J113"/>
    <mergeCell ref="I114:J114"/>
    <mergeCell ref="C115:J115"/>
    <mergeCell ref="B116:K116"/>
    <mergeCell ref="C118:D118"/>
    <mergeCell ref="F118:H118"/>
    <mergeCell ref="I118:J118"/>
    <mergeCell ref="F119:H119"/>
    <mergeCell ref="I119:J119"/>
    <mergeCell ref="F120:J120"/>
    <mergeCell ref="F121:J121"/>
    <mergeCell ref="F122:J122"/>
    <mergeCell ref="F123:J123"/>
    <mergeCell ref="F124:J124"/>
    <mergeCell ref="F125:J125"/>
    <mergeCell ref="F126:J126"/>
    <mergeCell ref="F127:J127"/>
    <mergeCell ref="F128:J128"/>
    <mergeCell ref="F129:J129"/>
    <mergeCell ref="F130:J130"/>
    <mergeCell ref="C131:J131"/>
    <mergeCell ref="C133:D133"/>
    <mergeCell ref="I133:J133"/>
    <mergeCell ref="C134:D134"/>
    <mergeCell ref="I134:J134"/>
    <mergeCell ref="C135:J135"/>
    <mergeCell ref="C137:D137"/>
    <mergeCell ref="I137:J137"/>
    <mergeCell ref="C138:D138"/>
    <mergeCell ref="I138:J138"/>
    <mergeCell ref="C139:D139"/>
    <mergeCell ref="I139:J139"/>
    <mergeCell ref="C140:D140"/>
    <mergeCell ref="I140:J140"/>
    <mergeCell ref="C141:J141"/>
    <mergeCell ref="C143:D143"/>
    <mergeCell ref="I143:J143"/>
    <mergeCell ref="C144:D144"/>
    <mergeCell ref="I144:J144"/>
    <mergeCell ref="C145:J145"/>
    <mergeCell ref="B146:J146"/>
    <mergeCell ref="B147:K147"/>
    <mergeCell ref="B148:K148"/>
    <mergeCell ref="C149:H149"/>
    <mergeCell ref="C150:H150"/>
    <mergeCell ref="C151:H151"/>
    <mergeCell ref="C152:H152"/>
    <mergeCell ref="B153:K153"/>
    <mergeCell ref="B154:K154"/>
    <mergeCell ref="C155:E155"/>
    <mergeCell ref="G155:G157"/>
    <mergeCell ref="H155:I155"/>
    <mergeCell ref="C156:E156"/>
    <mergeCell ref="C157:E157"/>
    <mergeCell ref="B158:B159"/>
    <mergeCell ref="C158:C159"/>
    <mergeCell ref="F158:F159"/>
    <mergeCell ref="J158:J159"/>
    <mergeCell ref="K158:K159"/>
    <mergeCell ref="B160:B161"/>
    <mergeCell ref="C160:C161"/>
    <mergeCell ref="D160:D161"/>
    <mergeCell ref="E160:E161"/>
    <mergeCell ref="F160:F161"/>
    <mergeCell ref="J160:J161"/>
    <mergeCell ref="K160:K161"/>
    <mergeCell ref="B162:E162"/>
    <mergeCell ref="B164:K164"/>
    <mergeCell ref="C176:J176"/>
    <mergeCell ref="B181:D181"/>
    <mergeCell ref="B182:D182"/>
    <mergeCell ref="H182:K182"/>
    <mergeCell ref="B165:K165"/>
    <mergeCell ref="B167:K167"/>
    <mergeCell ref="C169:J169"/>
    <mergeCell ref="C170:J170"/>
    <mergeCell ref="C171:J171"/>
    <mergeCell ref="C172:J172"/>
    <mergeCell ref="C173:J173"/>
    <mergeCell ref="C174:J174"/>
    <mergeCell ref="C175:J175"/>
  </mergeCells>
  <hyperlinks>
    <hyperlink ref="N97" r:id="rId1" xr:uid="{00000000-0004-0000-0A00-000000000000}"/>
    <hyperlink ref="M119" r:id="rId2" xr:uid="{00000000-0004-0000-0A00-000001000000}"/>
  </hyperlinks>
  <pageMargins left="0.51180555555555496" right="0.51180555555555496" top="0.78749999999999998" bottom="0.78749999999999998" header="0.51180555555555496" footer="0.51180555555555496"/>
  <pageSetup paperSize="9" scale="50" orientation="portrait" horizontalDpi="300" verticalDpi="300"/>
  <rowBreaks count="1" manualBreakCount="1">
    <brk id="9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0-1</vt:lpstr>
      <vt:lpstr>10+</vt:lpstr>
      <vt:lpstr>'0-1'!Area_de_impressao</vt:lpstr>
      <vt:lpstr>'10+'!Area_de_impressao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 Alexandre Pezzini</dc:creator>
  <dc:description/>
  <cp:lastModifiedBy>Ricardo Trindade Pinheiro</cp:lastModifiedBy>
  <cp:revision>7</cp:revision>
  <cp:lastPrinted>2024-07-24T04:56:33Z</cp:lastPrinted>
  <dcterms:created xsi:type="dcterms:W3CDTF">2019-11-18T10:59:10Z</dcterms:created>
  <dcterms:modified xsi:type="dcterms:W3CDTF">2024-10-25T15:04:07Z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